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egfZ/qky+j4LCsXHGhwjbv4FKvt9fVXnZ844dJyqJXurLxOdK+0eKlBikj2+jt15L3f4ofNtmjkL+aEIxikv7Q==" workbookSaltValue="CrrxFXSN5b3uYT9Txnl86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R19" i="8"/>
  <c r="EL19" i="8"/>
  <c r="EQ19" i="8"/>
  <c r="AP12" i="11"/>
  <c r="AT18" i="17"/>
  <c r="N10" i="11"/>
  <c r="N9" i="11"/>
  <c r="T10" i="21"/>
  <c r="F10" i="10"/>
  <c r="N11" i="11"/>
  <c r="ES19" i="8"/>
  <c r="S19" i="13"/>
  <c r="AG19" i="19"/>
  <c r="CI19" i="8"/>
  <c r="AE19" i="8"/>
  <c r="EP19" i="8"/>
  <c r="ER19" i="13"/>
  <c r="AL13" i="16"/>
  <c r="S13" i="16"/>
  <c r="H18" i="16"/>
  <c r="P13" i="16"/>
  <c r="AN13" i="20"/>
  <c r="F15" i="17"/>
  <c r="F17" i="17"/>
  <c r="AQ17" i="17" s="1"/>
  <c r="N13" i="2"/>
  <c r="H13" i="12"/>
  <c r="T19" i="8"/>
  <c r="AJ19" i="8"/>
  <c r="T13" i="12"/>
  <c r="S19"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Y18" i="8" l="1"/>
  <c r="AM19" i="8"/>
  <c r="Y19" i="8"/>
  <c r="E18" i="12"/>
  <c r="C18" i="7"/>
  <c r="AW18" i="21"/>
  <c r="G16" i="3"/>
  <c r="B18" i="2"/>
  <c r="Z19" i="8"/>
  <c r="AB19" i="8"/>
  <c r="BG10" i="8"/>
  <c r="H12" i="2"/>
  <c r="B17" i="6"/>
  <c r="AL10" i="11"/>
  <c r="B12" i="6"/>
  <c r="L12" i="14"/>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AY19" i="8"/>
  <c r="AL18" i="11"/>
  <c r="K16" i="12"/>
  <c r="Y13"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<sst xmlns="http://schemas.openxmlformats.org/spreadsheetml/2006/main" count="2102" uniqueCount="918">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</sst>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HNSR4mJm6hQa6t1KHzdNe6zU1sRpzr3XZcDnyvmkGWdJCb+Ssro0eob2dWMAJWA2VqMfOMDnXUDdytzyJl0bg==" saltValue="CqXyhJRHAHuiUuvDIk4t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0</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74.948648648648657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1905</v>
      </c>
      <c r="D16" s="224">
        <f>IF(ISNUMBER(IF(D_I="SI",Datos!I16,Datos!I16+Datos!AC16)),IF(D_I="SI",Datos!I16,Datos!I16+Datos!AC16)," - ")</f>
        <v>1905</v>
      </c>
      <c r="E16" s="225">
        <f>IF(ISNUMBER(IF(D_I="SI",Datos!J16,Datos!J16+Datos!AD16)),IF(D_I="SI",Datos!J16,Datos!J16+Datos!AD16)," - ")</f>
        <v>548</v>
      </c>
      <c r="F16" s="225">
        <f>IF(ISNUMBER(IF(D_I="SI",Datos!K16,Datos!K16+Datos!AE16)),IF(D_I="SI",Datos!K16,Datos!K16+Datos!AE16)," - ")</f>
        <v>539</v>
      </c>
      <c r="G16" s="1033" t="str">
        <f>IF(Datos!E16&lt;&gt;"",Datos!E16,Datos!D16)</f>
        <v>04</v>
      </c>
      <c r="H16" s="226">
        <f>IF(ISNUMBER(IF(D_I="SI",Datos!L16,Datos!L16+Datos!AF16)),IF(D_I="SI",Datos!L16,Datos!L16+Datos!AF16)," - ")</f>
        <v>1914</v>
      </c>
      <c r="I16" s="1043" t="str">
        <f>IF(ISNUMBER(Datos!AS16/Datos!BM16),Datos!AS16/Datos!BM16," - ")</f>
        <v xml:space="preserve"> - </v>
      </c>
      <c r="J16" s="1044">
        <f>IF(ISNUMBER(Datos!BY16/Datos!CN16),Datos!BY16/Datos!CN16," - ")</f>
        <v>0</v>
      </c>
      <c r="K16" s="229">
        <f t="shared" si="3"/>
        <v>4.7244094488188976E-3</v>
      </c>
      <c r="L16" s="1024">
        <f>IF(ISNUMBER(NºAsuntos!I16/NºAsuntos!G16),(NºAsuntos!I16/NºAsuntos!G16)*11," - ")</f>
        <v>39.061224489795919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81</v>
      </c>
      <c r="D17" s="224">
        <f>IF(ISNUMBER(IF(D_I="SI",Datos!I17,Datos!I17+Datos!AC17)),IF(D_I="SI",Datos!I17,Datos!I17+Datos!AC17)," - ")</f>
        <v>81</v>
      </c>
      <c r="E17" s="225">
        <f>IF(ISNUMBER(IF(D_I="SI",Datos!J17,Datos!J17+Datos!AD17)),IF(D_I="SI",Datos!J17,Datos!J17+Datos!AD17)," - ")</f>
        <v>32</v>
      </c>
      <c r="F17" s="225">
        <f>IF(ISNUMBER(IF(D_I="SI",Datos!K17,Datos!K17+Datos!AE17)),IF(D_I="SI",Datos!K17,Datos!K17+Datos!AE17)," - ")</f>
        <v>30</v>
      </c>
      <c r="G17" s="1033" t="str">
        <f>IF(Datos!E17&lt;&gt;"",Datos!E17,Datos!D17)</f>
        <v>37</v>
      </c>
      <c r="H17" s="226">
        <f>IF(ISNUMBER(IF(D_I="SI",Datos!L17,Datos!L17+Datos!AF17)),IF(D_I="SI",Datos!L17,Datos!L17+Datos!AF17)," - ")</f>
        <v>83</v>
      </c>
      <c r="I17" s="1043" t="str">
        <f>IF(ISNUMBER(Datos!AS17/Datos!BM17),Datos!AS17/Datos!BM17," - ")</f>
        <v xml:space="preserve"> - </v>
      </c>
      <c r="J17" s="1044" t="str">
        <f>IF(ISNUMBER((Datos!BY17+Datos!BZ17)/Datos!CN17),(Datos!BY17+Datos!BZ17)/Datos!CN17," - ")</f>
        <v xml:space="preserve"> - </v>
      </c>
      <c r="K17" s="229">
        <f t="shared" si="3"/>
        <v>2.4691358024691357E-2</v>
      </c>
      <c r="L17" s="1024">
        <f>IF(ISNUMBER(NºAsuntos!I17/NºAsuntos!G17),(NºAsuntos!I17/NºAsuntos!G17)*11," - ")</f>
        <v>30.433333333333334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1986</v>
      </c>
      <c r="D18" s="1048">
        <f>SUBTOTAL(9,D15:D17)</f>
        <v>1986</v>
      </c>
      <c r="E18" s="1049">
        <f>SUBTOTAL(9,E15:E17)</f>
        <v>580</v>
      </c>
      <c r="F18" s="1049">
        <f>SUBTOTAL(9,F15:F17)</f>
        <v>569</v>
      </c>
      <c r="G18" s="1051" t="str">
        <f ca="1">INDIRECT(CONCATENATE("G",ROW()-1))</f>
        <v>37</v>
      </c>
      <c r="H18" s="1052">
        <f ca="1">SUMIF(G$14:G17,G18,H$14:H17)</f>
        <v>83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1994</v>
      </c>
      <c r="D19" s="1070">
        <f>SUBTOTAL(9,D9:D18)</f>
        <v>1994</v>
      </c>
      <c r="E19" s="1071">
        <f>SUBTOTAL(9,E9:E18)</f>
        <v>580</v>
      </c>
      <c r="F19" s="1071">
        <f>SUBTOTAL(9,F9:F18)</f>
        <v>569</v>
      </c>
      <c r="G19" s="1072"/>
      <c r="H19" s="1073">
        <f ca="1">SUMIF(B9:B18,"TOTAL",H9:H18)</f>
        <v>83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udzjfMxqV1MTmMprI8mmZ5vXc/FWjzI3YGfegI5yHyeRq65zxuZlnqt3aNSyQgWEMn584HuGyvYgXcpOGUcNg==" saltValue="3BbjSE07FOr2zl/Y86d4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Y3boJlOSpzExZoH10kZhum/lOmK1nmoarrmOYXka+ey+B1fWjVSwPQ3CNNS74rTpUKCPEkA0QobVFGNaZYdeg==" saltValue="twQyzc5U5MGuT+Flgjm8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0</v>
      </c>
      <c r="K10" s="180">
        <v>0</v>
      </c>
      <c r="L10" s="180">
        <v>8</v>
      </c>
      <c r="M10" s="180">
        <v>0</v>
      </c>
      <c r="N10" s="180">
        <v>0</v>
      </c>
      <c r="O10" s="180">
        <v>0</v>
      </c>
      <c r="P10" s="180">
        <v>0</v>
      </c>
      <c r="Q10" s="180">
        <v>0</v>
      </c>
      <c r="R10" s="180">
        <v>0</v>
      </c>
      <c r="S10" s="180">
        <v>17</v>
      </c>
      <c r="T10" s="180">
        <v>2</v>
      </c>
      <c r="U10" s="180">
        <v>2</v>
      </c>
      <c r="V10" s="180">
        <v>17</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2</v>
      </c>
      <c r="BA10" s="129">
        <f t="shared" si="0"/>
        <v>2</v>
      </c>
      <c r="BB10" s="129">
        <f t="shared" si="0"/>
        <v>17</v>
      </c>
      <c r="BC10" s="125">
        <f t="shared" si="0"/>
        <v>1</v>
      </c>
      <c r="BD10" s="126">
        <f>IF(ISNUMBER(BA10/AZ10),BA10/AZ10," - ")</f>
        <v>1</v>
      </c>
      <c r="BE10" s="127">
        <f>IF(ISNUMBER(BB10/BA10),BB10/BA10, " - ")</f>
        <v>8.5</v>
      </c>
      <c r="BF10" s="127">
        <f>IF(ISNUMBER(BC10/BA10),BC10/BA10, " - ")</f>
        <v>0.5</v>
      </c>
      <c r="BG10" s="195">
        <f>IF(ISNUMBER((AY10+AZ10)/BA10),(AY10+AZ10)/BA10," - ")</f>
        <v>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2554</v>
      </c>
      <c r="J12" s="182">
        <v>251</v>
      </c>
      <c r="K12" s="182">
        <v>351</v>
      </c>
      <c r="L12" s="182">
        <v>2432</v>
      </c>
      <c r="M12" s="182">
        <v>72</v>
      </c>
      <c r="N12" s="182">
        <v>103</v>
      </c>
      <c r="O12" s="180">
        <v>146</v>
      </c>
      <c r="P12" s="182">
        <v>53</v>
      </c>
      <c r="Q12" s="182">
        <v>16</v>
      </c>
      <c r="R12" s="182">
        <v>2279</v>
      </c>
      <c r="S12" s="182">
        <v>1954</v>
      </c>
      <c r="T12" s="182">
        <v>373</v>
      </c>
      <c r="U12" s="182">
        <v>356</v>
      </c>
      <c r="V12" s="182">
        <v>1971</v>
      </c>
      <c r="W12" s="182">
        <v>87</v>
      </c>
      <c r="X12" s="188">
        <v>153</v>
      </c>
      <c r="Y12" s="190">
        <v>78</v>
      </c>
      <c r="Z12" s="180">
        <v>30</v>
      </c>
      <c r="AA12" s="180">
        <v>19</v>
      </c>
      <c r="AB12" s="180">
        <v>89</v>
      </c>
      <c r="AC12" s="182">
        <v>0</v>
      </c>
      <c r="AD12" s="182">
        <v>0</v>
      </c>
      <c r="AE12" s="182">
        <v>0</v>
      </c>
      <c r="AF12" s="188">
        <v>0</v>
      </c>
      <c r="AG12" s="201">
        <v>72</v>
      </c>
      <c r="AH12" s="182">
        <v>30</v>
      </c>
      <c r="AI12" s="182">
        <v>33</v>
      </c>
      <c r="AJ12" s="202">
        <v>69</v>
      </c>
      <c r="AK12" s="181">
        <v>0</v>
      </c>
      <c r="AL12" s="182">
        <v>0</v>
      </c>
      <c r="AM12" s="182">
        <v>0</v>
      </c>
      <c r="AN12" s="188">
        <v>0</v>
      </c>
      <c r="AO12" s="258">
        <v>2</v>
      </c>
      <c r="AP12" s="154">
        <v>2</v>
      </c>
      <c r="AQ12" s="154">
        <v>2</v>
      </c>
      <c r="AR12" s="153">
        <v>2</v>
      </c>
      <c r="AS12" s="339" t="s">
        <v>794</v>
      </c>
      <c r="AT12" s="202"/>
      <c r="AU12" s="201"/>
      <c r="AV12" s="202"/>
      <c r="AW12" s="201"/>
      <c r="AX12" s="202"/>
      <c r="AY12" s="126">
        <f t="shared" si="1"/>
        <v>2026</v>
      </c>
      <c r="AZ12" s="127">
        <f t="shared" si="1"/>
        <v>403</v>
      </c>
      <c r="BA12" s="127">
        <f t="shared" si="1"/>
        <v>389</v>
      </c>
      <c r="BB12" s="127">
        <f t="shared" si="1"/>
        <v>2040</v>
      </c>
      <c r="BC12" s="125">
        <f>IF(ISNUMBER(X12),X12," - ")</f>
        <v>153</v>
      </c>
      <c r="BD12" s="126">
        <f t="shared" si="2"/>
        <v>0.9652605459057072</v>
      </c>
      <c r="BE12" s="127">
        <f t="shared" si="3"/>
        <v>5.2442159383033422</v>
      </c>
      <c r="BF12" s="127">
        <f t="shared" si="4"/>
        <v>0.39331619537275064</v>
      </c>
      <c r="BG12" s="195">
        <f t="shared" si="5"/>
        <v>6.2442159383033422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2562</v>
      </c>
      <c r="J13" s="183">
        <f t="shared" si="6"/>
        <v>251</v>
      </c>
      <c r="K13" s="183">
        <f t="shared" si="6"/>
        <v>351</v>
      </c>
      <c r="L13" s="183">
        <f t="shared" si="6"/>
        <v>2440</v>
      </c>
      <c r="M13" s="183">
        <f t="shared" si="6"/>
        <v>72</v>
      </c>
      <c r="N13" s="183">
        <f t="shared" si="6"/>
        <v>103</v>
      </c>
      <c r="O13" s="183">
        <f t="shared" si="6"/>
        <v>146</v>
      </c>
      <c r="P13" s="183">
        <f t="shared" si="6"/>
        <v>53</v>
      </c>
      <c r="Q13" s="183">
        <f t="shared" si="6"/>
        <v>16</v>
      </c>
      <c r="R13" s="183">
        <f t="shared" si="6"/>
        <v>2279</v>
      </c>
      <c r="S13" s="183">
        <f t="shared" si="6"/>
        <v>1971</v>
      </c>
      <c r="T13" s="183">
        <f t="shared" si="6"/>
        <v>375</v>
      </c>
      <c r="U13" s="183">
        <f t="shared" si="6"/>
        <v>358</v>
      </c>
      <c r="V13" s="183">
        <f t="shared" si="6"/>
        <v>1988</v>
      </c>
      <c r="W13" s="183">
        <f t="shared" si="6"/>
        <v>88</v>
      </c>
      <c r="X13" s="183">
        <f t="shared" si="6"/>
        <v>154</v>
      </c>
      <c r="Y13" s="183">
        <f t="shared" si="6"/>
        <v>78</v>
      </c>
      <c r="Z13" s="183">
        <f t="shared" si="6"/>
        <v>30</v>
      </c>
      <c r="AA13" s="183">
        <f t="shared" si="6"/>
        <v>19</v>
      </c>
      <c r="AB13" s="183">
        <f t="shared" si="6"/>
        <v>89</v>
      </c>
      <c r="AC13" s="183">
        <f t="shared" si="6"/>
        <v>0</v>
      </c>
      <c r="AD13" s="183">
        <f t="shared" si="6"/>
        <v>0</v>
      </c>
      <c r="AE13" s="183">
        <f t="shared" si="6"/>
        <v>0</v>
      </c>
      <c r="AF13" s="183">
        <f>SUBTOTAL(9,AF9:AF12)</f>
        <v>0</v>
      </c>
      <c r="AG13" s="183">
        <f t="shared" ref="AG13:AT13" si="7">SUBTOTAL(9,AG8:AG12)</f>
        <v>72</v>
      </c>
      <c r="AH13" s="183">
        <f t="shared" si="7"/>
        <v>30</v>
      </c>
      <c r="AI13" s="183">
        <f t="shared" si="7"/>
        <v>33</v>
      </c>
      <c r="AJ13" s="183">
        <f t="shared" si="7"/>
        <v>69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2043</v>
      </c>
      <c r="AZ13" s="183">
        <f>SUBTOTAL(9,AZ8:AZ12)</f>
        <v>405</v>
      </c>
      <c r="BA13" s="183">
        <f>SUBTOTAL(9,BA8:BA12)</f>
        <v>391</v>
      </c>
      <c r="BB13" s="183">
        <f>SUBTOTAL(9,BB8:BB12)</f>
        <v>2057</v>
      </c>
      <c r="BC13" s="183">
        <f>SUBTOTAL(9,BC8:BC12)</f>
        <v>154</v>
      </c>
      <c r="BD13" s="204">
        <f>IF(ISNUMBER(BA13/AZ13),BA13/AZ13," - ")</f>
        <v>0.96543209876543212</v>
      </c>
      <c r="BE13" s="205">
        <f>IF(ISNUMBER(BB13/BA13),BB13/BA13, " - ")</f>
        <v>5.2608695652173916</v>
      </c>
      <c r="BF13" s="205">
        <f>IF(ISNUMBER(BC13/BA13),BC13/BA13, " - ")</f>
        <v>0.39386189258312021</v>
      </c>
      <c r="BG13" s="206">
        <f>IF(ISNUMBER((AY13+AZ13)/BA13),(AY13+AZ13)/BA13," - ")</f>
        <v>6.2608695652173916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1905</v>
      </c>
      <c r="J16" s="182">
        <v>548</v>
      </c>
      <c r="K16" s="182">
        <v>539</v>
      </c>
      <c r="L16" s="182">
        <v>1914</v>
      </c>
      <c r="M16" s="182">
        <v>21</v>
      </c>
      <c r="N16" s="182">
        <v>491</v>
      </c>
      <c r="O16" s="180">
        <v>3</v>
      </c>
      <c r="P16" s="182">
        <v>6</v>
      </c>
      <c r="Q16" s="182">
        <v>8</v>
      </c>
      <c r="R16" s="182">
        <v>85</v>
      </c>
      <c r="S16" s="182">
        <v>1352</v>
      </c>
      <c r="T16" s="182">
        <v>344</v>
      </c>
      <c r="U16" s="182">
        <v>354</v>
      </c>
      <c r="V16" s="182">
        <v>1342</v>
      </c>
      <c r="W16" s="182">
        <v>62</v>
      </c>
      <c r="X16" s="188">
        <v>227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1352</v>
      </c>
      <c r="AZ16" s="127">
        <f t="shared" si="9"/>
        <v>344</v>
      </c>
      <c r="BA16" s="127">
        <f t="shared" si="9"/>
        <v>354</v>
      </c>
      <c r="BB16" s="127">
        <f t="shared" si="9"/>
        <v>1342</v>
      </c>
      <c r="BC16" s="125">
        <f>IF(ISNUMBER(W16),W16," - ")</f>
        <v>62</v>
      </c>
      <c r="BD16" s="126">
        <f t="shared" ref="BD16" si="11">IF(ISNUMBER(BA16/AZ16),BA16/AZ16," - ")</f>
        <v>1.0290697674418605</v>
      </c>
      <c r="BE16" s="127">
        <f t="shared" ref="BE16" si="12">IF(ISNUMBER(BB16/BA16),BB16/BA16, " - ")</f>
        <v>3.7909604519774009</v>
      </c>
      <c r="BF16" s="127">
        <f t="shared" ref="BF16" si="13">IF(ISNUMBER(BC16/BA16),BC16/BA16, " - ")</f>
        <v>0.1751412429378531</v>
      </c>
      <c r="BG16" s="195">
        <f t="shared" si="10"/>
        <v>4.7909604519774014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v>
      </c>
      <c r="J17" s="182">
        <v>32</v>
      </c>
      <c r="K17" s="182">
        <v>30</v>
      </c>
      <c r="L17" s="182">
        <v>83</v>
      </c>
      <c r="M17" s="182">
        <v>8</v>
      </c>
      <c r="N17" s="182">
        <v>21</v>
      </c>
      <c r="O17" s="182">
        <v>0</v>
      </c>
      <c r="P17" s="182">
        <v>0</v>
      </c>
      <c r="Q17" s="182">
        <v>0</v>
      </c>
      <c r="R17" s="182">
        <v>0</v>
      </c>
      <c r="S17" s="182">
        <v>46</v>
      </c>
      <c r="T17" s="182">
        <v>31</v>
      </c>
      <c r="U17" s="182">
        <v>25</v>
      </c>
      <c r="V17" s="182">
        <v>52</v>
      </c>
      <c r="W17" s="182">
        <v>5</v>
      </c>
      <c r="X17" s="188">
        <v>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46</v>
      </c>
      <c r="AZ17" s="129">
        <f t="shared" si="14"/>
        <v>31</v>
      </c>
      <c r="BA17" s="129">
        <f t="shared" si="14"/>
        <v>25</v>
      </c>
      <c r="BB17" s="129">
        <f t="shared" si="14"/>
        <v>52</v>
      </c>
      <c r="BC17" s="125">
        <f>IF(ISNUMBER(W17),W17," - ")</f>
        <v>5</v>
      </c>
      <c r="BD17" s="126">
        <f>IF(ISNUMBER(BA17/AZ17),BA17/AZ17," - ")</f>
        <v>0.80645161290322576</v>
      </c>
      <c r="BE17" s="127">
        <f>IF(ISNUMBER(BB17/BA17),BB17/BA17, " - ")</f>
        <v>2.08</v>
      </c>
      <c r="BF17" s="127">
        <f>IF(ISNUMBER(BC17/BA17),BC17/BA17, " - ")</f>
        <v>0.2</v>
      </c>
      <c r="BG17" s="195">
        <f>IF(ISNUMBER((AY17+AZ17)/BA17),(AY17+AZ17)/BA17," - ")</f>
        <v>3.08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1986</v>
      </c>
      <c r="J18" s="183">
        <f t="shared" si="15"/>
        <v>580</v>
      </c>
      <c r="K18" s="183">
        <f t="shared" si="15"/>
        <v>569</v>
      </c>
      <c r="L18" s="183">
        <f t="shared" si="15"/>
        <v>1997</v>
      </c>
      <c r="M18" s="183">
        <f t="shared" si="15"/>
        <v>29</v>
      </c>
      <c r="N18" s="183">
        <f t="shared" si="15"/>
        <v>512</v>
      </c>
      <c r="O18" s="183">
        <f t="shared" si="15"/>
        <v>3</v>
      </c>
      <c r="P18" s="183">
        <f t="shared" si="15"/>
        <v>6</v>
      </c>
      <c r="Q18" s="183">
        <f t="shared" si="15"/>
        <v>8</v>
      </c>
      <c r="R18" s="183">
        <f t="shared" si="15"/>
        <v>85</v>
      </c>
      <c r="S18" s="183">
        <f t="shared" si="15"/>
        <v>1398</v>
      </c>
      <c r="T18" s="183">
        <f t="shared" si="15"/>
        <v>375</v>
      </c>
      <c r="U18" s="183">
        <f t="shared" si="15"/>
        <v>379</v>
      </c>
      <c r="V18" s="183">
        <f t="shared" si="15"/>
        <v>1394</v>
      </c>
      <c r="W18" s="183">
        <f t="shared" si="15"/>
        <v>67</v>
      </c>
      <c r="X18" s="183">
        <f t="shared" si="15"/>
        <v>251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1398</v>
      </c>
      <c r="AZ18" s="183">
        <f>SUBTOTAL(9,AZ14:AZ17)</f>
        <v>375</v>
      </c>
      <c r="BA18" s="183">
        <f>SUBTOTAL(9,BA14:BA17)</f>
        <v>379</v>
      </c>
      <c r="BB18" s="183">
        <f>SUBTOTAL(9,BB14:BB17)</f>
        <v>1394</v>
      </c>
      <c r="BC18" s="183">
        <f>SUBTOTAL(9,BC14:BC17)</f>
        <v>67</v>
      </c>
      <c r="BD18" s="204">
        <f>IF(ISNUMBER(BA18/AZ18),BA18/AZ18," - ")</f>
        <v>1.0106666666666666</v>
      </c>
      <c r="BE18" s="205">
        <f>IF(ISNUMBER(BB18/BA18),BB18/BA18, " - ")</f>
        <v>3.6781002638522429</v>
      </c>
      <c r="BF18" s="205">
        <f>IF(ISNUMBER(BC18/BA18),BC18/BA18, " - ")</f>
        <v>0.17678100263852242</v>
      </c>
      <c r="BG18" s="206">
        <f>IF(ISNUMBER((AY18+AZ18)/BA18),(AY18+AZ18)/BA18," - ")</f>
        <v>4.6781002638522429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4548</v>
      </c>
      <c r="J19" s="134">
        <f t="shared" si="18"/>
        <v>831</v>
      </c>
      <c r="K19" s="134">
        <f t="shared" si="18"/>
        <v>920</v>
      </c>
      <c r="L19" s="134">
        <f t="shared" si="18"/>
        <v>4437</v>
      </c>
      <c r="M19" s="134">
        <f t="shared" si="18"/>
        <v>101</v>
      </c>
      <c r="N19" s="134">
        <f t="shared" si="18"/>
        <v>615</v>
      </c>
      <c r="O19" s="134">
        <f t="shared" si="18"/>
        <v>149</v>
      </c>
      <c r="P19" s="134">
        <f t="shared" si="18"/>
        <v>59</v>
      </c>
      <c r="Q19" s="134">
        <f t="shared" si="18"/>
        <v>24</v>
      </c>
      <c r="R19" s="134">
        <f t="shared" si="18"/>
        <v>2364</v>
      </c>
      <c r="S19" s="134">
        <f t="shared" si="18"/>
        <v>3369</v>
      </c>
      <c r="T19" s="134">
        <f t="shared" si="18"/>
        <v>750</v>
      </c>
      <c r="U19" s="134">
        <f t="shared" si="18"/>
        <v>737</v>
      </c>
      <c r="V19" s="134">
        <f t="shared" si="18"/>
        <v>3382</v>
      </c>
      <c r="W19" s="134">
        <f t="shared" si="18"/>
        <v>155</v>
      </c>
      <c r="X19" s="134">
        <f t="shared" si="18"/>
        <v>405</v>
      </c>
      <c r="Y19" s="134">
        <f t="shared" si="18"/>
        <v>78</v>
      </c>
      <c r="Z19" s="134">
        <f t="shared" si="18"/>
        <v>30</v>
      </c>
      <c r="AA19" s="134">
        <f t="shared" si="18"/>
        <v>19</v>
      </c>
      <c r="AB19" s="134">
        <f t="shared" si="18"/>
        <v>89</v>
      </c>
      <c r="AC19" s="134">
        <f t="shared" si="18"/>
        <v>0</v>
      </c>
      <c r="AD19" s="134">
        <f t="shared" si="18"/>
        <v>0</v>
      </c>
      <c r="AE19" s="134">
        <f t="shared" si="18"/>
        <v>0</v>
      </c>
      <c r="AF19" s="134">
        <f t="shared" si="18"/>
        <v>0</v>
      </c>
      <c r="AG19" s="134">
        <f t="shared" si="18"/>
        <v>72</v>
      </c>
      <c r="AH19" s="134">
        <f t="shared" si="18"/>
        <v>30</v>
      </c>
      <c r="AI19" s="134">
        <f t="shared" si="18"/>
        <v>33</v>
      </c>
      <c r="AJ19" s="134">
        <f t="shared" si="18"/>
        <v>69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3441</v>
      </c>
      <c r="AZ19" s="134">
        <f>SUBTOTAL(9,AZ9:AZ18)</f>
        <v>780</v>
      </c>
      <c r="BA19" s="134">
        <f>SUBTOTAL(9,BA9:BA18)</f>
        <v>770</v>
      </c>
      <c r="BB19" s="134">
        <f>SUBTOTAL(9,BB9:BB18)</f>
        <v>3451</v>
      </c>
      <c r="BC19" s="135">
        <f>SUBTOTAL(9,BC9:BC18)</f>
        <v>221</v>
      </c>
      <c r="BD19" s="212">
        <f>IF(ISNUMBER(BA19/AZ19),BA19/AZ19," - ")</f>
        <v>0.98717948717948723</v>
      </c>
      <c r="BE19" s="209">
        <f>IF(ISNUMBER(BB19/BA19),BB19/BA19, " - ")</f>
        <v>4.4818181818181815</v>
      </c>
      <c r="BF19" s="209">
        <f>IF(ISNUMBER(BC19/BA19),BC19/BA19, " - ")</f>
        <v>0.287012987012987</v>
      </c>
      <c r="BG19" s="135">
        <f>IF(ISNUMBER((AY19+AZ19)/BA19),(AY19+AZ19)/BA19," - ")</f>
        <v>5.4818181818181815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ePIY+P6cmxCkoYK/r+XQKlKsP/DG4DKKw0Lh8DGhX8/MZca42cRvznqmy4qb0q9y/Fw0o3tB6DqmJQIwpvdhA==" saltValue="BK4uChy9l7WeHQOCq8LvP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tFJnNS5Dx3R5nWtRK5/b2g6gkveTy/hza+QLEbRf2od4P511Hz9xH5xfRZajUnaVFeOa7D0joG+jiza7Bn0dA==" saltValue="VGcgbxDYGAIQWuL1L4+D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VALVERDE DEL CAMINO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89</v>
      </c>
      <c r="AI12" s="333" t="str">
        <f>IF(ISNUMBER(Datos!CD12),Datos!CD12,"-")</f>
        <v>-</v>
      </c>
      <c r="AJ12" s="333" t="str">
        <f>IF(ISNUMBER(Datos!EN12),Datos!EN12," - ")</f>
        <v xml:space="preserve"> - </v>
      </c>
      <c r="AK12" s="333"/>
      <c r="AL12" s="478"/>
      <c r="AM12" s="334">
        <f>IF(ISNUMBER(Datos!R12),Datos!R12," - ")</f>
        <v>2279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72</v>
      </c>
      <c r="BD12" s="228">
        <f>IF(ISNUMBER(Datos!N12),Datos!N12," - ")</f>
        <v>103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1.3167259786476868</v>
      </c>
      <c r="BH12" s="259">
        <f>IF(ISNUMBER(((IF(J_V="SI",Datos!L12/Datos!K12,(Datos!L12+Datos!AB12)/(Datos!K12+Datos!AA12)))*11)/factor_trimestre),((IF(J_V="SI",Datos!L12/Datos!K12,(Datos!L12+Datos!AB12)/(Datos!K12+Datos!AA12)))*11)/factor_trimestre," - ")</f>
        <v>13.627027027027028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1.6503122212310439E-2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30</v>
      </c>
      <c r="O13" s="899">
        <f t="shared" si="0"/>
        <v>0</v>
      </c>
      <c r="P13" s="899">
        <f t="shared" si="0"/>
        <v>0</v>
      </c>
      <c r="Q13" s="898">
        <f t="shared" si="0"/>
        <v>53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v>
      </c>
      <c r="AD13" s="898">
        <f t="shared" si="1"/>
        <v>0</v>
      </c>
      <c r="AE13" s="898">
        <f t="shared" si="1"/>
        <v>0</v>
      </c>
      <c r="AF13" s="898">
        <f t="shared" si="1"/>
        <v>8</v>
      </c>
      <c r="AG13" s="898">
        <f t="shared" si="1"/>
        <v>0</v>
      </c>
      <c r="AH13" s="898">
        <f t="shared" si="1"/>
        <v>89</v>
      </c>
      <c r="AI13" s="898">
        <f t="shared" si="1"/>
        <v>0</v>
      </c>
      <c r="AJ13" s="898">
        <f t="shared" si="1"/>
        <v>0</v>
      </c>
      <c r="AK13" s="898">
        <f t="shared" si="1"/>
        <v>0</v>
      </c>
      <c r="AL13" s="898">
        <f t="shared" si="1"/>
        <v>0</v>
      </c>
      <c r="AM13" s="898">
        <f t="shared" si="1"/>
        <v>2279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72</v>
      </c>
      <c r="BD13" s="898">
        <f t="shared" si="1"/>
        <v>103</v>
      </c>
      <c r="BE13" s="898">
        <f t="shared" si="1"/>
        <v>0</v>
      </c>
      <c r="BF13" s="898">
        <f t="shared" si="1"/>
        <v>0</v>
      </c>
      <c r="BG13" s="898">
        <f>IF(ISNUMBER(Datos!K13/Datos!J13),Datos!K13/Datos!J13," - ")</f>
        <v>1.3984063745019921</v>
      </c>
      <c r="BH13" s="902">
        <f>IF(ISNUMBER(((Datos!L13/Datos!K13)*11)/factor_trimestre),((Datos!L13/Datos!K13)*11)/factor_trimestre," - ")</f>
        <v>13.903133903133902</v>
      </c>
      <c r="BI13" s="898">
        <f>IF(ISNUMBER('Resol  Asuntos'!D13/NºAsuntos!G13),'Resol  Asuntos'!D13/NºAsuntos!G13," - ")</f>
        <v>0.19459459459459461</v>
      </c>
      <c r="BJ13" s="898" t="str">
        <f>IF(ISNUMBER(Datos!CI13/Datos!CJ13),Datos!CI13/Datos!CJ13," - ")</f>
        <v xml:space="preserve"> - </v>
      </c>
      <c r="BK13" s="898">
        <f>SUBTOTAL(9,BK8:BK12)</f>
        <v>0</v>
      </c>
      <c r="BL13" s="898">
        <f>IF(ISNUMBER((I13-AB13+L13)/(F13)),(I13-AB13+L13)/(F13)," - ")</f>
        <v>0</v>
      </c>
      <c r="BM13" s="903">
        <f>SUBTOTAL(9,BM9:BM12)</f>
        <v>1.6503122212310439E-2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1905</v>
      </c>
      <c r="G16" s="597">
        <f>IF(ISNUMBER(IF(D_I="SI",Datos!I16,Datos!I16+Datos!AC16)),IF(D_I="SI",Datos!I16,Datos!I16+Datos!AC16)," - ")</f>
        <v>1905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539</v>
      </c>
      <c r="AC16" s="225">
        <f>IF(ISNUMBER(Datos!Q16),Datos!Q16," - ")</f>
        <v>8</v>
      </c>
      <c r="AD16" s="333"/>
      <c r="AE16" s="483"/>
      <c r="AF16" s="595">
        <f>IF(ISNUMBER(IF(D_I="SI",Datos!L16,Datos!L16+Datos!AF16)),IF(D_I="SI",Datos!L16,Datos!L16+Datos!AF16)," - ")</f>
        <v>1914</v>
      </c>
      <c r="AG16" s="333"/>
      <c r="AH16" s="333"/>
      <c r="AI16" s="333"/>
      <c r="AJ16" s="333"/>
      <c r="AK16" s="333"/>
      <c r="AL16" s="478"/>
      <c r="AM16" s="334">
        <f>IF(ISNUMBER(Datos!R16),Datos!R16," - ")</f>
        <v>85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v>
      </c>
      <c r="BD16" s="228">
        <f>IF(ISNUMBER(Datos!N16),Datos!N16," - ")</f>
        <v>491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0.98357664233576647</v>
      </c>
      <c r="BH16" s="259">
        <f>IF(ISNUMBER(((IF(D_I="SI",Datos!L16/Datos!K16,(Datos!L16+Datos!AF16)/(Datos!K16+Datos!AE16)))*11)/factor_trimestre),((IF(D_I="SI",Datos!L16/Datos!K16,(Datos!L16+Datos!AF16)/(Datos!K16+Datos!AE16)))*11)/factor_trimestre," - ")</f>
        <v>7.1020408163265305</v>
      </c>
      <c r="BI16" s="242">
        <f>IF(ISNUMBER('Resol  Asuntos'!D16/NºAsuntos!G16),'Resol  Asuntos'!D16/NºAsuntos!G16," - ")</f>
        <v>3.896103896103896E-2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v>
      </c>
      <c r="AC17" s="225">
        <f>IF(ISNUMBER(Datos!Q17),Datos!Q17," - ")</f>
        <v>0</v>
      </c>
      <c r="AD17" s="333"/>
      <c r="AE17" s="483"/>
      <c r="AF17" s="331">
        <f>IF(ISNUMBER(Datos!L17),Datos!L17,"-")</f>
        <v>83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0.9375</v>
      </c>
      <c r="BH17" s="259">
        <f>IF(ISNUMBER(((IF(D_I="SI",Datos!L17/Datos!K17,(Datos!L17+Datos!AF17)/(Datos!K17+Datos!AE17)))*11)/factor_trimestre),((IF(D_I="SI",Datos!L17/Datos!K17,(Datos!L17+Datos!AF17)/(Datos!K17+Datos!AE17)))*11)/factor_trimestre," - ")</f>
        <v>5.5333333333333332</v>
      </c>
      <c r="BI17" s="242">
        <f>IF(ISNUMBER('Resol  Asuntos'!D17/NºAsuntos!G17),'Resol  Asuntos'!D17/NºAsuntos!G17," - ")</f>
        <v>0.26666666666666666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1905</v>
      </c>
      <c r="G18" s="897">
        <f>SUBTOTAL(9,G15:G17)</f>
        <v>1986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569</v>
      </c>
      <c r="AC18" s="898">
        <f t="shared" si="4"/>
        <v>8</v>
      </c>
      <c r="AD18" s="898">
        <f t="shared" si="4"/>
        <v>0</v>
      </c>
      <c r="AE18" s="898">
        <f t="shared" si="4"/>
        <v>0</v>
      </c>
      <c r="AF18" s="898">
        <f t="shared" si="4"/>
        <v>1997</v>
      </c>
      <c r="AG18" s="898">
        <f t="shared" si="4"/>
        <v>0</v>
      </c>
      <c r="AH18" s="898">
        <f t="shared" si="4"/>
        <v>0</v>
      </c>
      <c r="AI18" s="898">
        <f t="shared" si="4"/>
        <v>0</v>
      </c>
      <c r="AJ18" s="898">
        <f t="shared" si="4"/>
        <v>0</v>
      </c>
      <c r="AK18" s="898">
        <f t="shared" si="4"/>
        <v>0</v>
      </c>
      <c r="AL18" s="898">
        <f t="shared" si="4"/>
        <v>0</v>
      </c>
      <c r="AM18" s="898">
        <f t="shared" si="4"/>
        <v>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v>
      </c>
      <c r="BD18" s="898">
        <f t="shared" si="4"/>
        <v>512</v>
      </c>
      <c r="BE18" s="898">
        <f t="shared" si="4"/>
        <v>0</v>
      </c>
      <c r="BF18" s="898">
        <f t="shared" si="4"/>
        <v>0</v>
      </c>
      <c r="BG18" s="898">
        <f>IF(ISNUMBER(Datos!K18/Datos!J18),Datos!K18/Datos!J18," - ")</f>
        <v>0.98103448275862071</v>
      </c>
      <c r="BH18" s="902">
        <f>IF(ISNUMBER(((Datos!L18/Datos!K18)*11)/factor_trimestre),((Datos!L18/Datos!K18)*11)/factor_trimestre," - ")</f>
        <v>7.0193321616871707</v>
      </c>
      <c r="BI18" s="898">
        <f>SUBTOTAL(9,BI15:BI17)</f>
        <v>0.30562770562770564</v>
      </c>
      <c r="BJ18" s="898">
        <f>SUBTOTAL(9,BJ15:BJ17)</f>
        <v>0</v>
      </c>
      <c r="BK18" s="898">
        <f>SUBTOTAL(9,BK15:BK17)</f>
        <v>0</v>
      </c>
      <c r="BL18" s="898">
        <f>IF(ISNUMBER((I18-AB18+L18)/(F18)),(I18-AB18+L18)/(F18)," - ")</f>
        <v>-0.29868766404199476</v>
      </c>
      <c r="BM18" s="904">
        <f>IF(ISNUMBER((Datos!P18-Datos!Q18)/(Datos!R18-Datos!P18+Datos!Q18)),(Datos!P18-Datos!Q18)/(Datos!R18-Datos!P18+Datos!Q18)," - ")</f>
        <v>-2.2988505747126436E-2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1913</v>
      </c>
      <c r="G19" s="819">
        <f t="shared" si="6"/>
        <v>1994</v>
      </c>
      <c r="H19" s="821">
        <f t="shared" si="6"/>
        <v>0</v>
      </c>
      <c r="I19" s="819">
        <f t="shared" si="6"/>
        <v>0</v>
      </c>
      <c r="J19" s="821">
        <f t="shared" si="6"/>
        <v>0</v>
      </c>
      <c r="K19" s="821">
        <f t="shared" si="6"/>
        <v>0</v>
      </c>
      <c r="L19" s="880">
        <f t="shared" si="6"/>
        <v>0</v>
      </c>
      <c r="M19" s="880">
        <f t="shared" si="6"/>
        <v>0</v>
      </c>
      <c r="N19" s="880">
        <f t="shared" si="6"/>
        <v>30</v>
      </c>
      <c r="O19" s="880">
        <f t="shared" si="6"/>
        <v>0</v>
      </c>
      <c r="P19" s="880">
        <f t="shared" si="6"/>
        <v>0</v>
      </c>
      <c r="Q19" s="821">
        <f t="shared" si="6"/>
        <v>59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569</v>
      </c>
      <c r="AC19" s="820">
        <f t="shared" si="7"/>
        <v>24</v>
      </c>
      <c r="AD19" s="820">
        <f t="shared" si="7"/>
        <v>0</v>
      </c>
      <c r="AE19" s="820">
        <f t="shared" si="7"/>
        <v>0</v>
      </c>
      <c r="AF19" s="827">
        <f t="shared" si="7"/>
        <v>2005</v>
      </c>
      <c r="AG19" s="827">
        <f t="shared" si="7"/>
        <v>0</v>
      </c>
      <c r="AH19" s="827">
        <f t="shared" si="7"/>
        <v>89</v>
      </c>
      <c r="AI19" s="827">
        <f t="shared" si="7"/>
        <v>0</v>
      </c>
      <c r="AJ19" s="820">
        <f t="shared" si="7"/>
        <v>0</v>
      </c>
      <c r="AK19" s="827">
        <f t="shared" si="7"/>
        <v>0</v>
      </c>
      <c r="AL19" s="827">
        <f t="shared" si="7"/>
        <v>0</v>
      </c>
      <c r="AM19" s="827">
        <f t="shared" si="7"/>
        <v>2364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101</v>
      </c>
      <c r="BD19" s="819">
        <f t="shared" si="7"/>
        <v>615</v>
      </c>
      <c r="BE19" s="819">
        <f t="shared" si="7"/>
        <v>0</v>
      </c>
      <c r="BF19" s="829">
        <f t="shared" si="7"/>
        <v>0</v>
      </c>
      <c r="BG19" s="914">
        <f>IF(ISNUMBER(Datos!K19/Datos!J19),Datos!K19/Datos!J19," - ")</f>
        <v>1.1070998796630565</v>
      </c>
      <c r="BH19" s="914">
        <f>IF(ISNUMBER(((Datos!L19/Datos!K19)*11)/factor_trimestre),((Datos!L19/Datos!K19)*11)/factor_trimestre," - ")</f>
        <v>9.6456521739130441</v>
      </c>
      <c r="BI19" s="812">
        <f>IF(ISNUMBER(Datos!J19/Datos!I19),Datos!J19/Datos!I19," - ")</f>
        <v>0.18271767810026385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-0.29743857814950342</v>
      </c>
      <c r="BM19" s="888">
        <f>IF(ISNUMBER((Datos!P19-Datos!Q19+R19)/(Datos!R19-Datos!P19+Datos!Q19-R19)),(Datos!P19-Datos!Q19+R19)/(Datos!R19-Datos!P19+Datos!Q19-R19)," - ")</f>
        <v>1.5027908973808502E-2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1095.2334606527199</v>
      </c>
      <c r="G21" s="551">
        <f>IF(ISNUMBER(STDEV(G8:G18)),STDEV(G8:G18),"-")</f>
        <v>1048.6993372745117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298.40123994380451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31.347514521356658</v>
      </c>
      <c r="BD21" s="550"/>
      <c r="BE21" s="550">
        <f>IF(ISNUMBER(STDEV(BE8:BE18)),STDEV(BE8:BE18),"-")</f>
        <v>0</v>
      </c>
      <c r="BF21" s="555">
        <f>IF(ISNUMBER(STDEV(BF8:BF18)),STDEV(BF8:BF18),"-")</f>
        <v>0</v>
      </c>
      <c r="BG21" s="774">
        <f>IF(ISNUMBER(STDEV(BG8:BG18)),STDEV(BG8:BG18),"-")</f>
        <v>0.2164374909924287</v>
      </c>
      <c r="BH21" s="775">
        <f>IF(ISNUMBER(STDEV(BH8:BH18)),STDEV(BH8:BH18),"-")</f>
        <v>4.0012011988492882</v>
      </c>
      <c r="BI21" s="248">
        <f>IF(ISNUMBER(STDEV(BI8:BI18)),STDEV(BI8:BI18),"-")</f>
        <v>0.11769433061765144</v>
      </c>
      <c r="BJ21" s="229" t="str">
        <f>IF(ISNUMBER(BL21/BM21),BL21/BM21," - ")</f>
        <v xml:space="preserve"> - </v>
      </c>
      <c r="BK21" s="574"/>
      <c r="BL21" s="558">
        <f>IF(ISNUMBER(STDEV(BL8:BL18)),STDEV(BL8:BL18),"-")</f>
        <v>0.2112040727008638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nlwQjUhd0b+Zo7R7SbYpaC0qo03BrB6nDHyaVXCD7gbc6Xot63SZLxfpast/eMKaCalGaHOk7587B5sadKpzQ==" saltValue="uW/C5gIhVkZaYBDfkkml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VALVERDE DEL CAMINO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2279</v>
      </c>
      <c r="AF12" s="228" t="str">
        <f>IF(ISNUMBER(Datos!BV12),Datos!BV12," - ")</f>
        <v xml:space="preserve"> - </v>
      </c>
      <c r="AG12" s="224" t="str">
        <f>IF(ISNUMBER(Datos!DV12),Datos!DV12," - ")</f>
        <v xml:space="preserve"> - </v>
      </c>
      <c r="AH12" s="297"/>
      <c r="AI12" s="226"/>
      <c r="AJ12" s="224">
        <f>IF(ISNUMBER(Datos!M12),Datos!M12," - ")</f>
        <v>72</v>
      </c>
      <c r="AK12" s="228">
        <f>IF(ISNUMBER(Datos!N12),Datos!N12," - ")</f>
        <v>103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13.627027027027028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1.6503122212310439E-2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53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v>
      </c>
      <c r="AA13" s="899">
        <f t="shared" si="2"/>
        <v>8</v>
      </c>
      <c r="AB13" s="899">
        <f t="shared" si="2"/>
        <v>0</v>
      </c>
      <c r="AC13" s="899">
        <f t="shared" si="2"/>
        <v>0</v>
      </c>
      <c r="AD13" s="899">
        <f t="shared" si="2"/>
        <v>0</v>
      </c>
      <c r="AE13" s="899">
        <f t="shared" si="2"/>
        <v>2279</v>
      </c>
      <c r="AF13" s="907">
        <f t="shared" si="2"/>
        <v>0</v>
      </c>
      <c r="AG13" s="907">
        <f t="shared" si="2"/>
        <v>0</v>
      </c>
      <c r="AH13" s="907">
        <f t="shared" si="2"/>
        <v>0</v>
      </c>
      <c r="AI13" s="907">
        <f t="shared" si="2"/>
        <v>0</v>
      </c>
      <c r="AJ13" s="907">
        <f t="shared" si="2"/>
        <v>72</v>
      </c>
      <c r="AK13" s="907">
        <f t="shared" si="2"/>
        <v>103</v>
      </c>
      <c r="AL13" s="907">
        <f t="shared" si="2"/>
        <v>0</v>
      </c>
      <c r="AM13" s="907">
        <f t="shared" si="2"/>
        <v>0</v>
      </c>
      <c r="AN13" s="907">
        <f t="shared" si="2"/>
        <v>0</v>
      </c>
      <c r="AO13" s="903">
        <f>IF(ISNUMBER(((NºAsuntos!I13/NºAsuntos!G13)*11)/factor_trimestre),((NºAsuntos!I13/NºAsuntos!G13)*11)/factor_trimestre," - ")</f>
        <v>13.670270270270271</v>
      </c>
      <c r="AP13" s="909" t="str">
        <f>IF(ISNUMBER(Datos!CI13/Datos!CJ13),Datos!CI13/Datos!CJ13," - ")</f>
        <v xml:space="preserve"> - </v>
      </c>
      <c r="AQ13" s="927">
        <f t="shared" ref="AQ13:AV13" si="3">SUBTOTAL(9,AQ9:AQ12)</f>
        <v>0</v>
      </c>
      <c r="AR13" s="927">
        <f t="shared" si="3"/>
        <v>1.6503122212310439E-2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1905</v>
      </c>
      <c r="G16" s="224">
        <f>IF(ISNUMBER(IF(D_I="SI",Datos!I16,Datos!I16+Datos!AC16)),IF(D_I="SI",Datos!I16,Datos!I16+Datos!AC16)," - ")</f>
        <v>1905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539</v>
      </c>
      <c r="Z16" s="618">
        <f>IF(ISNUMBER(Datos!Q16),Datos!Q16," - ")</f>
        <v>8</v>
      </c>
      <c r="AA16" s="331">
        <f>IF(ISNUMBER(IF(D_I="SI",Datos!L16,Datos!L16+Datos!AF16)),IF(D_I="SI",Datos!L16,Datos!L16+Datos!AF16)," - ")</f>
        <v>1914</v>
      </c>
      <c r="AB16" s="333"/>
      <c r="AC16" s="333"/>
      <c r="AD16" s="483"/>
      <c r="AE16" s="483">
        <f>IF(ISNUMBER(Datos!R16),Datos!R16," - ")</f>
        <v>85</v>
      </c>
      <c r="AF16" s="228" t="str">
        <f>IF(ISNUMBER(Datos!BV16),Datos!BV16," - ")</f>
        <v xml:space="preserve"> - </v>
      </c>
      <c r="AG16" s="224"/>
      <c r="AH16" s="297"/>
      <c r="AI16" s="226"/>
      <c r="AJ16" s="224">
        <f>IF(ISNUMBER(Datos!M16),Datos!M16," - ")</f>
        <v>21</v>
      </c>
      <c r="AK16" s="228">
        <f>IF(ISNUMBER(Datos!N16),Datos!N16," - ")</f>
        <v>491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7.1020408163265305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v>
      </c>
      <c r="Z17" s="618">
        <f>IF(ISNUMBER(Datos!Q17),Datos!Q17," - ")</f>
        <v>0</v>
      </c>
      <c r="AA17" s="331">
        <f>IF(ISNUMBER(Datos!L17),Datos!L17,"-")</f>
        <v>83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5.5333333333333332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1905</v>
      </c>
      <c r="G18" s="897">
        <f>SUBTOTAL(9,G15:G17)</f>
        <v>1986</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569</v>
      </c>
      <c r="Z18" s="931">
        <f t="shared" si="5"/>
        <v>8</v>
      </c>
      <c r="AA18" s="931">
        <f t="shared" si="5"/>
        <v>1997</v>
      </c>
      <c r="AB18" s="931">
        <f t="shared" si="5"/>
        <v>0</v>
      </c>
      <c r="AC18" s="931">
        <f t="shared" si="5"/>
        <v>0</v>
      </c>
      <c r="AD18" s="931">
        <f t="shared" si="5"/>
        <v>0</v>
      </c>
      <c r="AE18" s="931">
        <f t="shared" si="5"/>
        <v>85</v>
      </c>
      <c r="AF18" s="931">
        <f t="shared" si="5"/>
        <v>0</v>
      </c>
      <c r="AG18" s="931">
        <f t="shared" si="5"/>
        <v>0</v>
      </c>
      <c r="AH18" s="931">
        <f t="shared" si="5"/>
        <v>0</v>
      </c>
      <c r="AI18" s="931">
        <f t="shared" si="5"/>
        <v>0</v>
      </c>
      <c r="AJ18" s="931">
        <f t="shared" si="5"/>
        <v>29</v>
      </c>
      <c r="AK18" s="931">
        <f t="shared" si="5"/>
        <v>512</v>
      </c>
      <c r="AL18" s="931">
        <f t="shared" si="5"/>
        <v>0</v>
      </c>
      <c r="AM18" s="931">
        <f t="shared" si="5"/>
        <v>0</v>
      </c>
      <c r="AN18" s="931">
        <f t="shared" si="5"/>
        <v>0</v>
      </c>
      <c r="AO18" s="933">
        <f>IF(ISNUMBER(((NºAsuntos!I18/NºAsuntos!G18)*11)/factor_trimestre),((NºAsuntos!I18/NºAsuntos!G18)*11)/factor_trimestre," - ")</f>
        <v>7.0193321616871707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1913</v>
      </c>
      <c r="G19" s="819">
        <f t="shared" si="7"/>
        <v>1994</v>
      </c>
      <c r="H19" s="820">
        <f t="shared" si="7"/>
        <v>0</v>
      </c>
      <c r="I19" s="819">
        <f t="shared" si="7"/>
        <v>0</v>
      </c>
      <c r="J19" s="821">
        <f t="shared" si="7"/>
        <v>0</v>
      </c>
      <c r="K19" s="819">
        <f t="shared" si="7"/>
        <v>0</v>
      </c>
      <c r="L19" s="822">
        <f t="shared" si="7"/>
        <v>0</v>
      </c>
      <c r="M19" s="819">
        <f t="shared" si="7"/>
        <v>0</v>
      </c>
      <c r="N19" s="820">
        <f t="shared" si="7"/>
        <v>59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569</v>
      </c>
      <c r="Z19" s="826">
        <f t="shared" si="8"/>
        <v>24</v>
      </c>
      <c r="AA19" s="827">
        <f t="shared" si="8"/>
        <v>2005</v>
      </c>
      <c r="AB19" s="827">
        <f t="shared" si="8"/>
        <v>0</v>
      </c>
      <c r="AC19" s="827">
        <f t="shared" si="8"/>
        <v>0</v>
      </c>
      <c r="AD19" s="828">
        <f t="shared" si="8"/>
        <v>0</v>
      </c>
      <c r="AE19" s="828">
        <f t="shared" si="8"/>
        <v>2364</v>
      </c>
      <c r="AF19" s="829">
        <f t="shared" si="8"/>
        <v>0</v>
      </c>
      <c r="AG19" s="830">
        <f t="shared" si="8"/>
        <v>0</v>
      </c>
      <c r="AH19" s="831">
        <f t="shared" si="8"/>
        <v>0</v>
      </c>
      <c r="AI19" s="829">
        <f t="shared" si="8"/>
        <v>0</v>
      </c>
      <c r="AJ19" s="819">
        <f t="shared" si="8"/>
        <v>101</v>
      </c>
      <c r="AK19" s="819">
        <f t="shared" si="8"/>
        <v>615</v>
      </c>
      <c r="AL19" s="819">
        <f t="shared" si="8"/>
        <v>0</v>
      </c>
      <c r="AM19" s="832">
        <f t="shared" si="8"/>
        <v>0</v>
      </c>
      <c r="AN19" s="822">
        <f>IF(ISNUMBER(Datos!K19/Datos!J19),Datos!K19/Datos!J19," - ")</f>
        <v>1.1070998796630565</v>
      </c>
      <c r="AO19" s="822">
        <f>IF(ISNUMBER(FIND("06",Criterios!A8,1)),(IF(ISNUMBER(((Datos!R19/Datos!Q19)*11)/factor_trimestre),((Datos!R19/Datos!Q19)*11)/factor_trimestre," - ")),(IF(ISNUMBER(((Datos!L19/Datos!K19)*11)/factor_trimestre),((Datos!L19/Datos!K19)*11)/factor_trimestre," - ")))</f>
        <v>9.6456521739130441</v>
      </c>
      <c r="AP19" s="833" t="str">
        <f>IF(ISNUMBER(Datos!CI19/Datos!CJ19),Datos!CI19/Datos!CJ19," - ")</f>
        <v xml:space="preserve"> - </v>
      </c>
      <c r="AQ19" s="833">
        <f>IF(OR(ISNUMBER(FIND("01",Criterios!A8,1)),ISNUMBER(FIND("02",Criterios!A8,1)),ISNUMBER(FIND("03",Criterios!A8,1)),ISNUMBER(FIND("04",Criterios!A8,1))),(J19-Y19+K19)/(F19-K19),(I19-Y19+K19)/(F19-K19))</f>
        <v>-0.29743857814950342</v>
      </c>
      <c r="AR19" s="833">
        <f>IF(ISNUMBER((Datos!P19-Datos!Q19+O19)/(Datos!R19-Datos!P19+Datos!Q19-O19)),(Datos!P19-Datos!Q19+O19)/(Datos!R19-Datos!P19+Datos!Q19-O19)," - ")</f>
        <v>1.5027908973808502E-2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1095.2334606527199</v>
      </c>
      <c r="G21" s="551">
        <f>IF(ISNUMBER(STDEV(G8:G18)),STDEV(G8:G18),"-")</f>
        <v>1048.6993372745117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31.347514521356658</v>
      </c>
      <c r="AK21" s="251"/>
      <c r="AL21" s="251">
        <f>IF(ISNUMBER(STDEV(AL8:AL18)),STDEV(AL8:AL18),"-")</f>
        <v>0</v>
      </c>
      <c r="AM21" s="253">
        <f>IF(ISNUMBER(STDEV(AM8:AM18)),STDEV(AM8:AM18),"-")</f>
        <v>0</v>
      </c>
      <c r="AN21" s="538">
        <f>IF(ISNUMBER(STDEV(AN8:AN18)),STDEV(AN8:AN18),"-")</f>
        <v>0</v>
      </c>
      <c r="AO21" s="539">
        <f>IF(ISNUMBER(STDEV(AO8:AO18)),STDEV(AO8:AO18),"-")</f>
        <v>3.9370614617685313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qtD+bb7Tf/ZaJXdxBT8HKtPe0d/SYiuQl5yfLEeGs02ynagX5LfdVVO4waFwoOOjOnI4I1SL1mow9W8qPhojPg==" saltValue="9HH2vCKEnqU3c6z2YRHi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vwH+hPGgr5h6uyFqmduuU2KGyS+MZgbYxo9aVp1/IR7x9HJZ6BepyzbzE+GelUJ1EIUUTwSxDvLV1l52UeL2A==" saltValue="yK5SrksAdrG1gsw1IxWH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fd6s92L1il4Ftdocje1yjcXDYfIg5Qh4HMsBxwbdMH4E6Wu91wOGrsgqhPqlm5Q/HPfWYfRkje3n5EEtxZVmw==" saltValue="k5+R/HmoqUzKDuHvPrKi5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VALVERDE DEL CAMINO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0.19459459459459461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0.13759915742008494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GDEI7rem2g/RGAoozeXmDByokIy6pU+rNkTtB8lOdCxvloU17OI9zh4dYG3lMV+ynJoP2cGEiJnJMl1KzoaLw==" saltValue="uyB2MBe9TUmBmvxaSmFo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WNC5mYUIEsmKl/OGEvyeMYsYdPftdlirwD8HzSSdCshRwAMLxsy60xGelp/cOKEPy78A68xR1mo64C9JK7Xfg==" saltValue="Lp4ImVfaW502WRka6lPc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VALVERDE DEL CAMINO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0</v>
      </c>
      <c r="F10" s="403">
        <f>IF(ISNUMBER(E10/B10),E10/B10," - ")</f>
        <v>0</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2632</v>
      </c>
      <c r="D12" s="403">
        <f>IF(ISNUMBER(C12/Datos!BH12),C12/Datos!BH12," - ")</f>
        <v>1316</v>
      </c>
      <c r="E12" s="402">
        <f>IF(ISNUMBER(IF(J_V="SI",Datos!J12,Datos!J12+Datos!Z12)),IF(J_V="SI",Datos!J12,Datos!J12+Datos!Z12)," - ")</f>
        <v>281</v>
      </c>
      <c r="F12" s="403">
        <f>IF(ISNUMBER(E12/B12),E12/B12," - ")</f>
        <v>140.5</v>
      </c>
      <c r="G12" s="402">
        <f>IF(ISNUMBER(IF(J_V="SI",Datos!K12,Datos!K12+Datos!AA12)),IF(J_V="SI",Datos!K12,Datos!K12+Datos!AA12)," - ")</f>
        <v>370</v>
      </c>
      <c r="H12" s="403">
        <f>IF(ISNUMBER(G12/B12),G12/B12," - ")</f>
        <v>185</v>
      </c>
      <c r="I12" s="402">
        <f>IF(ISNUMBER(IF(J_V="SI",Datos!L12,Datos!L12+Datos!AB12)),IF(J_V="SI",Datos!L12,Datos!L12+Datos!AB12)," - ")</f>
        <v>2521</v>
      </c>
      <c r="J12" s="403">
        <f>IF(ISNUMBER(I12/B12),I12/B12," - ")</f>
        <v>1260.5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2640</v>
      </c>
      <c r="D13" s="849" t="str">
        <f>IF(ISNUMBER(C13/Datos!BI13),C13/Datos!BI13," - ")</f>
        <v xml:space="preserve"> - </v>
      </c>
      <c r="E13" s="848">
        <f>SUBTOTAL(9,E8:E12)</f>
        <v>281</v>
      </c>
      <c r="F13" s="849">
        <f>IF(ISNUMBER(E13/B13),E13/B13," - ")</f>
        <v>140.5</v>
      </c>
      <c r="G13" s="848">
        <f>SUBTOTAL(9,G8:G12)</f>
        <v>370</v>
      </c>
      <c r="H13" s="849">
        <f>IF(ISNUMBER(G13/B13),G13/B13," - ")</f>
        <v>185</v>
      </c>
      <c r="I13" s="848">
        <f>SUBTOTAL(9,I8:I12)</f>
        <v>2529</v>
      </c>
      <c r="J13" s="849">
        <f>IF(ISNUMBER(I13/B13),I13/B13," - ")</f>
        <v>1264.5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1905</v>
      </c>
      <c r="D16" s="403">
        <f>IF(ISNUMBER(C16/Datos!BH16),C16/Datos!BH16," - ")</f>
        <v>952.5</v>
      </c>
      <c r="E16" s="402">
        <f>IF(ISNUMBER(IF(D_I="SI",Datos!J16,Datos!J16+Datos!AD16)),IF(D_I="SI",Datos!J16,Datos!J16+Datos!AD16)," - ")</f>
        <v>548</v>
      </c>
      <c r="F16" s="403">
        <f>IF(ISNUMBER(E16/B16),E16/B16," - ")</f>
        <v>274</v>
      </c>
      <c r="G16" s="402">
        <f>IF(ISNUMBER(IF(D_I="SI",Datos!K16,Datos!K16+Datos!AE16)),IF(D_I="SI",Datos!K16,Datos!K16+Datos!AE16)," - ")</f>
        <v>539</v>
      </c>
      <c r="H16" s="403">
        <f>IF(ISNUMBER(G16/B16),G16/B16," - ")</f>
        <v>269.5</v>
      </c>
      <c r="I16" s="402">
        <f>IF(ISNUMBER(IF(D_I="SI",Datos!L16,Datos!L16+Datos!AF16)),IF(D_I="SI",Datos!L16,Datos!L16+Datos!AF16)," - ")</f>
        <v>1914</v>
      </c>
      <c r="J16" s="403">
        <f>IF(ISNUMBER(I16/B16),I16/B16," - ")</f>
        <v>957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81</v>
      </c>
      <c r="D17" s="403">
        <f>IF(ISNUMBER(C17/Datos!BH17),C17/Datos!BH17," - ")</f>
        <v>81</v>
      </c>
      <c r="E17" s="402">
        <f>IF(ISNUMBER(IF(D_I="SI",Datos!J17,Datos!J17+Datos!AD17)),IF(D_I="SI",Datos!J17,Datos!J17+Datos!AD17)," - ")</f>
        <v>32</v>
      </c>
      <c r="F17" s="403">
        <f>IF(ISNUMBER(E17/B17),E17/B17," - ")</f>
        <v>32</v>
      </c>
      <c r="G17" s="402">
        <f>IF(ISNUMBER(IF(D_I="SI",Datos!K17,Datos!K17+Datos!AE17)),IF(D_I="SI",Datos!K17,Datos!K17+Datos!AE17)," - ")</f>
        <v>30</v>
      </c>
      <c r="H17" s="403">
        <f>IF(ISNUMBER(G17/B17),G17/B17," - ")</f>
        <v>30</v>
      </c>
      <c r="I17" s="402">
        <f>IF(ISNUMBER(IF(D_I="SI",Datos!L17,Datos!L17+Datos!AF17)),IF(D_I="SI",Datos!L17,Datos!L17+Datos!AF17)," - ")</f>
        <v>83</v>
      </c>
      <c r="J17" s="403">
        <f>IF(ISNUMBER(I17/B17),I17/B17," - ")</f>
        <v>83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1986</v>
      </c>
      <c r="D18" s="849" t="str">
        <f>IF(ISNUMBER(C18/Datos!BI18),C18/Datos!BI18," - ")</f>
        <v xml:space="preserve"> - </v>
      </c>
      <c r="E18" s="848">
        <f>SUBTOTAL(9,E14:E17)</f>
        <v>580</v>
      </c>
      <c r="F18" s="849">
        <f>IF(ISNUMBER(E18/B18),E18/B18," - ")</f>
        <v>290</v>
      </c>
      <c r="G18" s="848">
        <f>SUBTOTAL(9,G14:G17)</f>
        <v>569</v>
      </c>
      <c r="H18" s="849">
        <f>IF(ISNUMBER(G18/B18),G18/B18," - ")</f>
        <v>284.5</v>
      </c>
      <c r="I18" s="848">
        <f>SUBTOTAL(9,I14:I17)</f>
        <v>1997</v>
      </c>
      <c r="J18" s="849">
        <f>IF(ISNUMBER(I18/B18),I18/B18," - ")</f>
        <v>998.5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4626</v>
      </c>
      <c r="D19" s="794" t="str">
        <f>IF(ISNUMBER(C19/Datos!BI19),C19/Datos!BI19," - ")</f>
        <v xml:space="preserve"> - </v>
      </c>
      <c r="E19" s="793">
        <f>SUBTOTAL(9,E9:E18)</f>
        <v>861</v>
      </c>
      <c r="F19" s="794">
        <f>IF(ISNUMBER(E19/B19),E19/B19," - ")</f>
        <v>430.5</v>
      </c>
      <c r="G19" s="793">
        <f>SUBTOTAL(9,G9:G18)</f>
        <v>939</v>
      </c>
      <c r="H19" s="794">
        <f>IF(ISNUMBER(G19/B19),G19/B19," - ")</f>
        <v>469.5</v>
      </c>
      <c r="I19" s="793">
        <f>SUBTOTAL(9,I9:I18)</f>
        <v>4526</v>
      </c>
      <c r="J19" s="794">
        <f>IF(ISNUMBER(I19/B19),I19/B19," - ")</f>
        <v>2263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A21Gy4R6HCj1DE3LTx/jDZpR8VGdgdOXzd1P5T679oQwJz6ljYVKUp9HuiPO/nAukSV06J1cw/vdya1mI8MJg==" saltValue="Mi2Ot0jefHkVLtwABSmv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VALVERDE DEL CAMINO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72</v>
      </c>
      <c r="AM12" s="689">
        <f>IF(ISNUMBER(Datos!N12+DatosP!N16),Datos!N12+DatosP!N16," - ")</f>
        <v>103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13.627027027027028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1.6503122212310439E-2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v>
      </c>
      <c r="AE13" s="938">
        <f t="shared" si="1"/>
        <v>0</v>
      </c>
      <c r="AF13" s="938">
        <f t="shared" si="1"/>
        <v>8</v>
      </c>
      <c r="AG13" s="938">
        <f t="shared" si="1"/>
        <v>0</v>
      </c>
      <c r="AH13" s="938">
        <f t="shared" si="1"/>
        <v>2279</v>
      </c>
      <c r="AI13" s="938">
        <f t="shared" si="1"/>
        <v>0</v>
      </c>
      <c r="AJ13" s="938">
        <f t="shared" si="1"/>
        <v>0</v>
      </c>
      <c r="AK13" s="938">
        <f t="shared" si="1"/>
        <v>0</v>
      </c>
      <c r="AL13" s="938">
        <f t="shared" si="1"/>
        <v>72</v>
      </c>
      <c r="AM13" s="938">
        <f t="shared" si="1"/>
        <v>103</v>
      </c>
      <c r="AN13" s="938">
        <f t="shared" si="1"/>
        <v>0</v>
      </c>
      <c r="AO13" s="938">
        <f t="shared" si="1"/>
        <v>0</v>
      </c>
      <c r="AP13" s="943">
        <f>IF(ISNUMBER(((Datos!L13/Datos!K13)*11)/factor_trimestre),((Datos!L13/Datos!K13)*11)/factor_trimestre," - ")</f>
        <v>13.903133903133902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1.6503122212310439E-2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7.0193321616871707</v>
      </c>
      <c r="AQ18" s="943">
        <f>IF(ISNUMBER(((Datos!M18/Datos!L18)*11)/factor_trimestre),((Datos!M18/Datos!L18)*11)/factor_trimestre," - ")</f>
        <v>2.9043565348022035E-2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-2.2988505747126436E-2</v>
      </c>
      <c r="AW18" s="945">
        <f>IF(ISNUMBER((Datos!Q18-Datos!R18)/(Datos!S18-Datos!Q18+Datos!R18)),(Datos!Q18-Datos!R18)/(Datos!S18-Datos!Q18+Datos!R18)," - ")</f>
        <v>-5.2203389830508477E-2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v>
      </c>
      <c r="AE19" s="956">
        <f t="shared" si="5"/>
        <v>0</v>
      </c>
      <c r="AF19" s="957">
        <f t="shared" si="5"/>
        <v>8</v>
      </c>
      <c r="AG19" s="957">
        <f t="shared" si="5"/>
        <v>0</v>
      </c>
      <c r="AH19" s="957">
        <f t="shared" si="5"/>
        <v>2279</v>
      </c>
      <c r="AI19" s="957">
        <f t="shared" si="5"/>
        <v>0</v>
      </c>
      <c r="AJ19" s="958">
        <f t="shared" si="5"/>
        <v>0</v>
      </c>
      <c r="AK19" s="958">
        <f t="shared" si="5"/>
        <v>0</v>
      </c>
      <c r="AL19" s="950">
        <f t="shared" si="5"/>
        <v>72</v>
      </c>
      <c r="AM19" s="950">
        <f t="shared" si="5"/>
        <v>103</v>
      </c>
      <c r="AN19" s="950">
        <f t="shared" si="5"/>
        <v>0</v>
      </c>
      <c r="AO19" s="950">
        <f t="shared" si="5"/>
        <v>0</v>
      </c>
      <c r="AP19" s="950">
        <f>IF(ISNUMBER(((Datos!L19/Datos!K19)*11)/factor_trimestre),((Datos!L19/Datos!K19)*11)/factor_trimestre," - ")</f>
        <v>9.6456521739130441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1.5027908973808502E-2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41.569219381653056</v>
      </c>
      <c r="AM21" s="735"/>
      <c r="AN21" s="735">
        <f>IF(ISNUMBER(STDEV(AN8:AN18)),STDEV(AN8:AN18),"-")</f>
        <v>0</v>
      </c>
      <c r="AO21" s="741">
        <f>IF(ISNUMBER(STDEV(AO8:AO18)),STDEV(AO8:AO18),"-")</f>
        <v>0</v>
      </c>
      <c r="AP21" s="778">
        <f>IF(ISNUMBER(STDEV(AP8:AP18)),STDEV(AP8:AP18),"-")</f>
        <v>3.8971056109206876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a1eZreNLsVo9OQ54jDMJnOUI+bF9LWZVodCYRHHIF0hwj1fWDg/xB/azN93R96rb4CPc9ZX2QmMytMKTpPOxA==" saltValue="g74j98oaJCejqEd7W7Qu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VALVERDE DEL CAMINO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zL3Rzmpe73f9lNDBEk/cIRo8gTJovcrEU2tM4X3UeBEeeLvXU1jbddla+6r0pBWg2hUFUA+fAvtVFgSU5sslg==" saltValue="4/fdtNiqE+0TGLGyaTWG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VALVERDE DEL CAMINO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72</v>
      </c>
      <c r="E12" s="403">
        <f t="shared" si="0"/>
        <v>36</v>
      </c>
      <c r="F12" s="402">
        <f>IF(ISNUMBER(Datos!N12),Datos!N12," - ")</f>
        <v>103</v>
      </c>
      <c r="G12" s="403">
        <f t="shared" si="1"/>
        <v>51.5</v>
      </c>
      <c r="H12" s="402">
        <f>IF(ISNUMBER(Datos!O12),Datos!O12," - ")</f>
        <v>146</v>
      </c>
      <c r="I12" s="403">
        <f t="shared" si="2"/>
        <v>73</v>
      </c>
      <c r="BZ12" s="1185">
        <f>Datos!EZ12</f>
        <v>0</v>
      </c>
    </row>
    <row r="13" spans="1:78" ht="14.25" thickTop="1" thickBot="1">
      <c r="A13" s="847" t="str">
        <f>Datos!A13</f>
        <v>TOTAL</v>
      </c>
      <c r="B13" s="848">
        <f>Datos!AP13</f>
        <v>2</v>
      </c>
      <c r="C13" s="850">
        <f>Datos!AR13</f>
        <v>2</v>
      </c>
      <c r="D13" s="848">
        <f>SUBTOTAL(9,D9:D12)</f>
        <v>72</v>
      </c>
      <c r="E13" s="849">
        <f t="shared" si="0"/>
        <v>36</v>
      </c>
      <c r="F13" s="848">
        <f>SUBTOTAL(9,F9:F12)</f>
        <v>103</v>
      </c>
      <c r="G13" s="849">
        <f t="shared" si="1"/>
        <v>51.5</v>
      </c>
      <c r="H13" s="848">
        <f>SUBTOTAL(9,H9:H12)</f>
        <v>146</v>
      </c>
      <c r="I13" s="849">
        <f>IF(ISNUMBER(H13/B13),H13/B13," - ")</f>
        <v>73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v>
      </c>
      <c r="E16" s="403">
        <f t="shared" si="3"/>
        <v>10.5</v>
      </c>
      <c r="F16" s="402">
        <f>IF(ISNUMBER(Datos!N16),Datos!N16," - ")</f>
        <v>491</v>
      </c>
      <c r="G16" s="403">
        <f t="shared" si="4"/>
        <v>245.5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29</v>
      </c>
      <c r="E18" s="849">
        <f t="shared" si="3"/>
        <v>14.5</v>
      </c>
      <c r="F18" s="848">
        <f>SUBTOTAL(9,F15:F17)</f>
        <v>512</v>
      </c>
      <c r="G18" s="849">
        <f t="shared" si="4"/>
        <v>256</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101</v>
      </c>
      <c r="E19" s="794">
        <f>IF(ISNUMBER(D19/B19),D19/B19," - ")</f>
        <v>50.5</v>
      </c>
      <c r="F19" s="793">
        <f>SUBTOTAL(9,F8:F18)</f>
        <v>615</v>
      </c>
      <c r="G19" s="794">
        <f>IF(ISNUMBER(F19/B19),F19/B19," - ")</f>
        <v>307.5</v>
      </c>
      <c r="H19" s="793">
        <f>SUBTOTAL(9,H8:H18)</f>
        <v>149</v>
      </c>
      <c r="I19" s="794">
        <f>IF(ISNUMBER(H19/B19),H19/B19," - ")</f>
        <v>74.5</v>
      </c>
    </row>
    <row r="22" spans="1:78">
      <c r="A22" s="390" t="str">
        <f>Criterios!A4</f>
        <v>Fecha Informe: 09 dic. 2025</v>
      </c>
    </row>
    <row r="27" spans="1:78">
      <c r="A27" s="413"/>
    </row>
  </sheetData>
  <sheetProtection algorithmName="SHA-512" hashValue="EzyU8WgojjLY/nR1+TDXCg9Eir2b9hFxvrpaDf3+eifh6qytEo+QiUcEsMXpFlt2fiOySkC0Qbf3nSZFRvG7Iw==" saltValue="wfyXaB1AyUtFSVH0gItO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VALVERDE DEL CAMINO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v>
      </c>
      <c r="C12" s="433">
        <f>IF(ISNUMBER(Datos!Q12),Datos!Q12," - ")</f>
        <v>16</v>
      </c>
      <c r="D12" s="407">
        <f>IF(ISNUMBER(Datos!R12),Datos!R12," - ")</f>
        <v>2279</v>
      </c>
    </row>
    <row r="13" spans="1:4" ht="14.25" thickTop="1" thickBot="1">
      <c r="A13" s="847" t="str">
        <f>Datos!A13</f>
        <v>TOTAL</v>
      </c>
      <c r="B13" s="848">
        <f>SUBTOTAL(9,B9:B12)</f>
        <v>53</v>
      </c>
      <c r="C13" s="852">
        <f>SUBTOTAL(9,C9:C12)</f>
        <v>16</v>
      </c>
      <c r="D13" s="850">
        <f>SUBTOTAL(9,D9:D12)</f>
        <v>2279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8</v>
      </c>
      <c r="D16" s="407">
        <f>IF(ISNUMBER(Datos!R16),Datos!R16," - ")</f>
        <v>85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8</v>
      </c>
      <c r="D18" s="850">
        <f>SUBTOTAL(9,D15:D17)</f>
        <v>85</v>
      </c>
    </row>
    <row r="19" spans="1:4" ht="16.5" customHeight="1" thickTop="1" thickBot="1">
      <c r="A19" s="792" t="str">
        <f>Datos!A19</f>
        <v>TOTAL JURISDICCIONES</v>
      </c>
      <c r="B19" s="797">
        <f>SUBTOTAL(9,B8:B18)</f>
        <v>59</v>
      </c>
      <c r="C19" s="798">
        <f>SUBTOTAL(9,C8:C18)</f>
        <v>24</v>
      </c>
      <c r="D19" s="799">
        <f>SUBTOTAL(9,D8:D18)</f>
        <v>2364</v>
      </c>
    </row>
    <row r="20" spans="1:4" ht="7.5" customHeight="1"/>
    <row r="21" spans="1:4" ht="6" customHeight="1"/>
    <row r="22" spans="1:4">
      <c r="A22" s="390" t="str">
        <f>Criterios!A4</f>
        <v>Fecha Informe: 09 dic. 2025</v>
      </c>
    </row>
    <row r="27" spans="1:4">
      <c r="A27" s="413"/>
    </row>
  </sheetData>
  <sheetProtection algorithmName="SHA-512" hashValue="771QFEYj/VJb8RXQxA4eBbKnFqpKRG6Cy6bcbay460jS1xR0EhFMNb+7RcnHG+UGseW1RfZ2EzHKc0XAgalGLA==" saltValue="5GVg027NqnrOk2lnznuf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VALVERDE DEL CAMINO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-0.52941176470588236</v>
      </c>
      <c r="C10" s="455">
        <f>IF(ISNUMBER((Datos!J10-Datos!T10)/Datos!T10),(Datos!J10-Datos!T10)/Datos!T10," - ")</f>
        <v>-1</v>
      </c>
      <c r="D10" s="455">
        <f>IF(ISNUMBER((Datos!K10-Datos!U10)/Datos!U10),(Datos!K10-Datos!U10)/Datos!U10," - ")</f>
        <v>-1</v>
      </c>
      <c r="E10" s="455">
        <f>IF(ISNUMBER((Datos!L10-Datos!V10)/Datos!V10),(Datos!L10-Datos!V10)/Datos!V10," - ")</f>
        <v>-0.52941176470588236</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0.29911154985192495</v>
      </c>
      <c r="C12" s="455">
        <f>IF(ISNUMBER(
   IF(J_V="SI",(Datos!J12-Datos!T12)/Datos!T12,(Datos!J12+Datos!Z12-(Datos!T12+Datos!AH12))/(Datos!T12+Datos!AH12))
     ),IF(J_V="SI",(Datos!J12-Datos!T12)/Datos!T12,(Datos!J12+Datos!Z12-(Datos!T12+Datos!AH12))/(Datos!T12+Datos!AH12))," - ")</f>
        <v>-0.30272952853598017</v>
      </c>
      <c r="D12" s="455">
        <f>IF(ISNUMBER(
   IF(J_V="SI",(Datos!K12-Datos!U12)/Datos!U12,(Datos!K12+Datos!AA12-(Datos!U12+Datos!AI12))/(Datos!U12+Datos!AI12))
     ),IF(J_V="SI",(Datos!K12-Datos!U12)/Datos!U12,(Datos!K12+Datos!AA12-(Datos!U12+Datos!AI12))/(Datos!U12+Datos!AI12))," - ")</f>
        <v>-4.8843187660668377E-2</v>
      </c>
      <c r="E12" s="455">
        <f>IF(ISNUMBER(
   IF(J_V="SI",(Datos!L12-Datos!V12)/Datos!V12,(Datos!L12+Datos!AB12-(Datos!V12+Datos!AJ12))/(Datos!V12+Datos!AJ12))
     ),IF(J_V="SI",(Datos!L12-Datos!V12)/Datos!V12,(Datos!L12+Datos!AB12-(Datos!V12+Datos!AJ12))/(Datos!V12+Datos!AJ12))," - ")</f>
        <v>0.23578431372549019</v>
      </c>
      <c r="F12" s="455">
        <f>IF(ISNUMBER((Datos!M12-Datos!W12)/Datos!W12),(Datos!M12-Datos!W12)/Datos!W12," - ")</f>
        <v>-0.17241379310344829</v>
      </c>
      <c r="G12" s="456">
        <f>IF(ISNUMBER((Datos!N12-Datos!X12)/Datos!X12),(Datos!N12-Datos!X12)/Datos!X12," - ")</f>
        <v>-0.32679738562091504</v>
      </c>
      <c r="H12" s="454">
        <f>IF(ISNUMBER(((NºAsuntos!G12/NºAsuntos!E12)-Datos!BD12)/Datos!BD12),((NºAsuntos!G12/NºAsuntos!E12)-Datos!BD12)/Datos!BD12," - ")</f>
        <v>0.36411457428025135</v>
      </c>
      <c r="I12" s="455">
        <f>IF(ISNUMBER(((NºAsuntos!I12/NºAsuntos!G12)-Datos!BE12)/Datos!BE12),((NºAsuntos!I12/NºAsuntos!G12)-Datos!BE12)/Datos!BE12," - ")</f>
        <v>0.29924350821409645</v>
      </c>
      <c r="J12" s="460">
        <f>IF(ISNUMBER((('Resol  Asuntos'!D12/NºAsuntos!G12)-Datos!BF12)/Datos!BF12),(('Resol  Asuntos'!D12/NºAsuntos!G12)-Datos!BF12)/Datos!BF12," - ")</f>
        <v>-0.50524642289348165</v>
      </c>
      <c r="K12" s="461">
        <f>IF(ISNUMBER((((NºAsuntos!C12+NºAsuntos!E12)/NºAsuntos!G12)-Datos!BG12)/Datos!BG12),(((NºAsuntos!C12+NºAsuntos!E12)/NºAsuntos!G12)-Datos!BG12)/Datos!BG12," - ")</f>
        <v>0.2608425222258075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0.2922173274596182</v>
      </c>
      <c r="C13" s="854">
        <f>IF(ISNUMBER(
   IF(J_V="SI",(Datos!J13-Datos!T13)/Datos!T13,(Datos!J13+Datos!Z13-(Datos!T13+Datos!AH13))/(Datos!T13+Datos!AH13))
     ),IF(J_V="SI",(Datos!J13-Datos!T13)/Datos!T13,(Datos!J13+Datos!Z13-(Datos!T13+Datos!AH13))/(Datos!T13+Datos!AH13))," - ")</f>
        <v>-0.30617283950617286</v>
      </c>
      <c r="D13" s="854">
        <f>IF(ISNUMBER(
   IF(J_V="SI",(Datos!K13-Datos!U13)/Datos!U13,(Datos!K13+Datos!AA13-(Datos!U13+Datos!AI13))/(Datos!U13+Datos!AI13))
     ),IF(J_V="SI",(Datos!K13-Datos!U13)/Datos!U13,(Datos!K13+Datos!AA13-(Datos!U13+Datos!AI13))/(Datos!U13+Datos!AI13))," - ")</f>
        <v>-5.3708439897698211E-2</v>
      </c>
      <c r="E13" s="854">
        <f>IF(ISNUMBER(
   IF(J_V="SI",(Datos!L13-Datos!V13)/Datos!V13,(Datos!L13+Datos!AB13-(Datos!V13+Datos!AJ13))/(Datos!V13+Datos!AJ13))
     ),IF(J_V="SI",(Datos!L13-Datos!V13)/Datos!V13,(Datos!L13+Datos!AB13-(Datos!V13+Datos!AJ13))/(Datos!V13+Datos!AJ13))," - ")</f>
        <v>0.22946037919299953</v>
      </c>
      <c r="F13" s="855">
        <f>IF(ISNUMBER((Datos!M13-Datos!W13)/Datos!W13),(Datos!M13-Datos!W13)/Datos!W13," - ")</f>
        <v>-0.18181818181818182</v>
      </c>
      <c r="G13" s="856">
        <f>IF(ISNUMBER((Datos!N13-Datos!X13)/Datos!X13),(Datos!N13-Datos!X13)/Datos!X13," - ")</f>
        <v>-0.33116883116883117</v>
      </c>
      <c r="H13" s="856">
        <f>IF(ISNUMBER(((NºAsuntos!G13/NºAsuntos!E13)-Datos!BD13)/Datos!BD13),((NºAsuntos!G13/NºAsuntos!E13)-Datos!BD13)/Datos!BD13," - ")</f>
        <v>0.3638721773716449</v>
      </c>
      <c r="I13" s="856">
        <f>IF(ISNUMBER(((NºAsuntos!I13/NºAsuntos!G13)-Datos!BE13)/Datos!BE13),((NºAsuntos!I13/NºAsuntos!G13)-Datos!BE13)/Datos!BE13," - ")</f>
        <v>0.29924056287692646</v>
      </c>
      <c r="J13" s="856">
        <f>IF(ISNUMBER((('Resol  Asuntos'!D13/NºAsuntos!G13)-Datos!BF13)/Datos!BF13),(('Resol  Asuntos'!D13/NºAsuntos!G13)-Datos!BF13)/Datos!BF13," - ")</f>
        <v>-0.50593190593190596</v>
      </c>
      <c r="K13" s="856">
        <f>IF(ISNUMBER((((NºAsuntos!C13+NºAsuntos!E13)/NºAsuntos!G13)-Datos!BG13)/Datos!BG13),(((NºAsuntos!C13+NºAsuntos!E13)/NºAsuntos!G13)-Datos!BG13)/Datos!BG13," - ")</f>
        <v>0.26094219219219211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0.40902366863905326</v>
      </c>
      <c r="C16" s="455">
        <f>IF(ISNUMBER(
   IF(D_I="SI",(Datos!J16-Datos!T16)/Datos!T16,(Datos!J16+Datos!AD16-(Datos!T16+Datos!AL16))/(Datos!T16+Datos!AL16))
     ),IF(D_I="SI",(Datos!J16-Datos!T16)/Datos!T16,(Datos!J16+Datos!AD16-(Datos!T16+Datos!AL16))/(Datos!T16+Datos!AL16))," - ")</f>
        <v>0.59302325581395354</v>
      </c>
      <c r="D16" s="455">
        <f>IF(ISNUMBER(
   IF(D_I="SI",(Datos!K16-Datos!U16)/Datos!U16,(Datos!K16+Datos!AE16-(Datos!U16+Datos!AM16))/(Datos!U16+Datos!AM16))
     ),IF(D_I="SI",(Datos!K16-Datos!U16)/Datos!U16,(Datos!K16+Datos!AE16-(Datos!U16+Datos!AM16))/(Datos!U16+Datos!AM16))," - ")</f>
        <v>0.52259887005649719</v>
      </c>
      <c r="E16" s="455">
        <f>IF(ISNUMBER(
   IF(D_I="SI",(Datos!L16-Datos!V16)/Datos!V16,(Datos!L16+Datos!AF16-(Datos!V16+Datos!AN16))/(Datos!V16+Datos!AN16))
     ),IF(D_I="SI",(Datos!L16-Datos!V16)/Datos!V16,(Datos!L16+Datos!AF16-(Datos!V16+Datos!AN16))/(Datos!V16+Datos!AN16))," - ")</f>
        <v>0.42622950819672129</v>
      </c>
      <c r="F16" s="455">
        <f>IF(ISNUMBER((Datos!M16-Datos!W16)/Datos!W16),(Datos!M16-Datos!W16)/Datos!W16," - ")</f>
        <v>-0.66129032258064513</v>
      </c>
      <c r="G16" s="456">
        <f>IF(ISNUMBER((Datos!N16-Datos!X16)/Datos!X16),(Datos!N16-Datos!X16)/Datos!X16," - ")</f>
        <v>1.1629955947136563</v>
      </c>
      <c r="H16" s="454">
        <f>IF(ISNUMBER(((NºAsuntos!G16/NºAsuntos!E16)-Datos!BD16)/Datos!BD16),((NºAsuntos!G16/NºAsuntos!E16)-Datos!BD16)/Datos!BD16," - ")</f>
        <v>-4.4208008577673305E-2</v>
      </c>
      <c r="I16" s="455">
        <f>IF(ISNUMBER(((NºAsuntos!I16/NºAsuntos!G16)-Datos!BE16)/Datos!BE16),((NºAsuntos!I16/NºAsuntos!G16)-Datos!BE16)/Datos!BE16," - ")</f>
        <v>-6.3292679217737735E-2</v>
      </c>
      <c r="J16" s="460">
        <f>IF(ISNUMBER((('Resol  Asuntos'!D16/NºAsuntos!G16)-Datos!BF16)/Datos!BF16),(('Resol  Asuntos'!D16/NºAsuntos!G16)-Datos!BF16)/Datos!BF16," - ")</f>
        <v>-0.77754503560955168</v>
      </c>
      <c r="K16" s="461">
        <f>IF(ISNUMBER((((NºAsuntos!C16+NºAsuntos!E16)/NºAsuntos!G16)-Datos!BG16)/Datos!BG16),(((NºAsuntos!C16+NºAsuntos!E16)/NºAsuntos!G16)-Datos!BG16)/Datos!BG16," - ")</f>
        <v>-5.0081825182903411E-2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0.76086956521739135</v>
      </c>
      <c r="C17" s="455">
        <f>IF(ISNUMBER(
   IF(D_I="SI",(Datos!J17-Datos!T17)/Datos!T17,(Datos!J17+Datos!AD17-(Datos!T17+Datos!AL17))/(Datos!T17+Datos!AL17))
     ),IF(D_I="SI",(Datos!J17-Datos!T17)/Datos!T17,(Datos!J17+Datos!AD17-(Datos!T17+Datos!AL17))/(Datos!T17+Datos!AL17))," - ")</f>
        <v>3.2258064516129031E-2</v>
      </c>
      <c r="D17" s="455">
        <f>IF(ISNUMBER(
   IF(D_I="SI",(Datos!K17-Datos!U17)/Datos!U17,(Datos!K17+Datos!AE17-(Datos!U17+Datos!AM17))/(Datos!U17+Datos!AM17))
     ),IF(D_I="SI",(Datos!K17-Datos!U17)/Datos!U17,(Datos!K17+Datos!AE17-(Datos!U17+Datos!AM17))/(Datos!U17+Datos!AM17))," - ")</f>
        <v>0.2</v>
      </c>
      <c r="E17" s="455">
        <f>IF(ISNUMBER(
   IF(D_I="SI",(Datos!L17-Datos!V17)/Datos!V17,(Datos!L17+Datos!AF17-(Datos!V17+Datos!AN17))/(Datos!V17+Datos!AN17))
     ),IF(D_I="SI",(Datos!L17-Datos!V17)/Datos!V17,(Datos!L17+Datos!AF17-(Datos!V17+Datos!AN17))/(Datos!V17+Datos!AN17))," - ")</f>
        <v>0.59615384615384615</v>
      </c>
      <c r="F17" s="455">
        <f>IF(ISNUMBER((Datos!M17-Datos!W17)/Datos!W17),(Datos!M17-Datos!W17)/Datos!W17," - ")</f>
        <v>0.6</v>
      </c>
      <c r="G17" s="456">
        <f>IF(ISNUMBER((Datos!N17-Datos!X17)/Datos!X17),(Datos!N17-Datos!X17)/Datos!X17," - ")</f>
        <v>-0.125</v>
      </c>
      <c r="H17" s="454">
        <f>IF(ISNUMBER(((NºAsuntos!G17/NºAsuntos!E17)-Datos!BD17)/Datos!BD17),((NºAsuntos!G17/NºAsuntos!E17)-Datos!BD17)/Datos!BD17," - ")</f>
        <v>0.16250000000000006</v>
      </c>
      <c r="I17" s="455">
        <f>IF(ISNUMBER(((NºAsuntos!I17/NºAsuntos!G17)-Datos!BE17)/Datos!BE17),((NºAsuntos!I17/NºAsuntos!G17)-Datos!BE17)/Datos!BE17," - ")</f>
        <v>0.33012820512820507</v>
      </c>
      <c r="J17" s="460">
        <f>IF(ISNUMBER((('Resol  Asuntos'!D17/NºAsuntos!G17)-Datos!BF17)/Datos!BF17),(('Resol  Asuntos'!D17/NºAsuntos!G17)-Datos!BF17)/Datos!BF17," - ")</f>
        <v>0.33333333333333326</v>
      </c>
      <c r="K17" s="461">
        <f>IF(ISNUMBER((((NºAsuntos!C17+NºAsuntos!E17)/NºAsuntos!G17)-Datos!BG17)/Datos!BG17),(((NºAsuntos!C17+NºAsuntos!E17)/NºAsuntos!G17)-Datos!BG17)/Datos!BG17," - ")</f>
        <v>0.22294372294372289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0.42060085836909872</v>
      </c>
      <c r="C18" s="854">
        <f>IF(ISNUMBER(
   IF(Criterios!B14="SI",(Datos!J18-Datos!T18)/Datos!T18,(Datos!J18+Datos!AD18-(Datos!T18+Datos!AL18))/(Datos!T18+Datos!AL18))
     ),IF(Criterios!B14="SI",(Datos!J18-Datos!T18)/Datos!T18,(Datos!J18+Datos!AD18-(Datos!T18+Datos!AL18))/(Datos!T18+Datos!AL18))," - ")</f>
        <v>0.54666666666666663</v>
      </c>
      <c r="D18" s="854">
        <f>IF(ISNUMBER(
   IF(Criterios!B14="SI",(Datos!K18-Datos!U18)/Datos!U18,(Datos!K18+Datos!AE18-(Datos!U18+Datos!AM18))/(Datos!U18+Datos!AM18))
     ),IF(Criterios!B14="SI",(Datos!K18-Datos!U18)/Datos!U18,(Datos!K18+Datos!AE18-(Datos!U18+Datos!AM18))/(Datos!U18+Datos!AM18))," - ")</f>
        <v>0.50131926121372028</v>
      </c>
      <c r="E18" s="854">
        <f>IF(ISNUMBER(
   IF(Criterios!B14="SI",(Datos!L18-Datos!V18)/Datos!V18,(Datos!L18+Datos!AF18-(Datos!V18+Datos!AN18))/(Datos!V18+Datos!AN18))
     ),IF(Criterios!B14="SI",(Datos!L18-Datos!V18)/Datos!V18,(Datos!L18+Datos!AF18-(Datos!V18+Datos!AN18))/(Datos!V18+Datos!AN18))," - ")</f>
        <v>0.43256814921090386</v>
      </c>
      <c r="F18" s="855">
        <f>IF(ISNUMBER((Datos!M18-Datos!W18)/Datos!W18),(Datos!M18-Datos!W18)/Datos!W18," - ")</f>
        <v>-0.56716417910447758</v>
      </c>
      <c r="G18" s="856">
        <f>IF(ISNUMBER((Datos!N18-Datos!X18)/Datos!X18),(Datos!N18-Datos!X18)/Datos!X18," - ")</f>
        <v>1.0398406374501992</v>
      </c>
      <c r="H18" s="856">
        <f>IF(ISNUMBER(((NºAsuntos!G18/NºAsuntos!E18)-Datos!BD18)/Datos!BD18),((NºAsuntos!G18/NºAsuntos!E18)-Datos!BD18)/Datos!BD18," - ")</f>
        <v>-2.9319443180784197E-2</v>
      </c>
      <c r="I18" s="856">
        <f>IF(ISNUMBER(((NºAsuntos!I18/NºAsuntos!G18)-Datos!BE18)/Datos!BE18),((NºAsuntos!I18/NºAsuntos!G18)-Datos!BE18)/Datos!BE18," - ")</f>
        <v>-4.579379868025911E-2</v>
      </c>
      <c r="J18" s="856">
        <f>IF(ISNUMBER((('Resol  Asuntos'!D18/NºAsuntos!G18)-Datos!BF18)/Datos!BF18),(('Resol  Asuntos'!D18/NºAsuntos!G18)-Datos!BF18)/Datos!BF18," - ")</f>
        <v>-0.71169635128400177</v>
      </c>
      <c r="K18" s="856">
        <f>IF(ISNUMBER((((NºAsuntos!C18+NºAsuntos!E18)/NºAsuntos!G18)-Datos!BG18)/Datos!BG18),(((NºAsuntos!C18+NºAsuntos!E18)/NºAsuntos!G18)-Datos!BG18)/Datos!BG18," - ")</f>
        <v>-3.600482535830863E-2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0.34437663469921537</v>
      </c>
      <c r="C19" s="801">
        <f>IF(ISNUMBER(
   IF(J_V="SI",(Datos!J19-Datos!T19)/Datos!T19,(Datos!J19+Datos!Z19-(Datos!T19+Datos!AH19))/(Datos!T19+Datos!AH19))
     ),IF(J_V="SI",(Datos!J19-Datos!T19)/Datos!T19,(Datos!J19+Datos!Z19-(Datos!T19+Datos!AH19))/(Datos!T19+Datos!AH19))," - ")</f>
        <v>0.10384615384615385</v>
      </c>
      <c r="D19" s="801">
        <f>IF(ISNUMBER(
   IF(J_V="SI",(Datos!K19-Datos!U19)/Datos!U19,(Datos!K19+Datos!AA19-(Datos!U19+Datos!AI19))/(Datos!U19+Datos!AI19))
     ),IF(J_V="SI",(Datos!K19-Datos!U19)/Datos!U19,(Datos!K19+Datos!AA19-(Datos!U19+Datos!AI19))/(Datos!U19+Datos!AI19))," - ")</f>
        <v>0.21948051948051947</v>
      </c>
      <c r="E19" s="801">
        <f>IF(ISNUMBER(
   IF(J_V="SI",(Datos!L19-Datos!V19)/Datos!V19,(Datos!L19+Datos!AB19-(Datos!V19+Datos!AJ19))/(Datos!V19+Datos!AJ19))
     ),IF(J_V="SI",(Datos!L19-Datos!V19)/Datos!V19,(Datos!L19+Datos!AB19-(Datos!V19+Datos!AJ19))/(Datos!V19+Datos!AJ19))," - ")</f>
        <v>0.31150391190959142</v>
      </c>
      <c r="F19" s="802">
        <f>IF(ISNUMBER((Datos!M19-Datos!W19)/Datos!W19),(Datos!M19-Datos!W19)/Datos!W19," - ")</f>
        <v>-0.34838709677419355</v>
      </c>
      <c r="G19" s="803">
        <f>IF(ISNUMBER((Datos!N19-Datos!X19)/Datos!X19),(Datos!N19-Datos!X19)/Datos!X19," - ")</f>
        <v>0.51851851851851849</v>
      </c>
      <c r="H19" s="804">
        <f>IF(ISNUMBER((Tasas!B19-Datos!BD19)/Datos!BD19),(Tasas!B19-Datos!BD19)/Datos!BD19," - ")</f>
        <v>0.10475587130639383</v>
      </c>
      <c r="I19" s="805">
        <f>IF(ISNUMBER((Tasas!C19-Datos!BE19)/Datos!BE19),(Tasas!C19-Datos!BE19)/Datos!BE19," - ")</f>
        <v>7.5461141821496686E-2</v>
      </c>
      <c r="J19" s="806">
        <f>IF(ISNUMBER((Tasas!D19-Datos!BF19)/Datos!BF19),(Tasas!D19-Datos!BF19)/Datos!BF19," - ")</f>
        <v>-0.62523913472983195</v>
      </c>
      <c r="K19" s="806">
        <f>IF(ISNUMBER((Tasas!E19-Datos!BG19)/Datos!BG19),(Tasas!E19-Datos!BG19)/Datos!BG19," - ")</f>
        <v>6.5969407488648463E-2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caqogXpenGSTixj7a6O0rd2WzWfuncsCY0E0Hht+uRafw7GpzrRAElJtKXctZx+d7Okg2rqCqqNSXIJfnRFbg==" saltValue="13pfwGXs3HhapU5xies5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VALVERDE DEL CAMINO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1.3167259786476868</v>
      </c>
      <c r="C12" s="442">
        <f>IF(ISNUMBER(NºAsuntos!I12/NºAsuntos!G12),NºAsuntos!I12/NºAsuntos!G12," - ")</f>
        <v>6.8135135135135139</v>
      </c>
      <c r="D12" s="443">
        <f>IF(ISNUMBER('Resol  Asuntos'!D12/NºAsuntos!G12),'Resol  Asuntos'!D12/NºAsuntos!G12," - ")</f>
        <v>0.19459459459459461</v>
      </c>
      <c r="E12" s="444">
        <f>IF(ISNUMBER((NºAsuntos!C12+NºAsuntos!E12)/NºAsuntos!G12),(NºAsuntos!C12+NºAsuntos!E12)/NºAsuntos!G12," - ")</f>
        <v>7.8729729729729732</v>
      </c>
      <c r="G12" s="462"/>
    </row>
    <row r="13" spans="1:7" ht="14.25" thickTop="1" thickBot="1">
      <c r="A13" s="847" t="str">
        <f>Datos!A13</f>
        <v>TOTAL</v>
      </c>
      <c r="B13" s="857">
        <f>IF(ISNUMBER(NºAsuntos!G13/NºAsuntos!E13),NºAsuntos!G13/NºAsuntos!E13," - ")</f>
        <v>1.3167259786476868</v>
      </c>
      <c r="C13" s="858">
        <f>IF(ISNUMBER(NºAsuntos!I13/NºAsuntos!G13),NºAsuntos!I13/NºAsuntos!G13," - ")</f>
        <v>6.8351351351351353</v>
      </c>
      <c r="D13" s="859">
        <f>IF(ISNUMBER('Resol  Asuntos'!D13/NºAsuntos!G13),'Resol  Asuntos'!D13/NºAsuntos!G13," - ")</f>
        <v>0.19459459459459461</v>
      </c>
      <c r="E13" s="860">
        <f>IF(ISNUMBER((NºAsuntos!C13+NºAsuntos!E13)/NºAsuntos!G13),(NºAsuntos!C13+NºAsuntos!E13)/NºAsuntos!G13," - ")</f>
        <v>7.8945945945945946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0.98357664233576647</v>
      </c>
      <c r="C16" s="442">
        <f>IF(ISNUMBER(NºAsuntos!I16/NºAsuntos!G16),NºAsuntos!I16/NºAsuntos!G16," - ")</f>
        <v>3.5510204081632653</v>
      </c>
      <c r="D16" s="443">
        <f>IF(ISNUMBER('Resol  Asuntos'!D16/NºAsuntos!G16),'Resol  Asuntos'!D16/NºAsuntos!G16," - ")</f>
        <v>3.896103896103896E-2</v>
      </c>
      <c r="E16" s="444">
        <f>IF(ISNUMBER((NºAsuntos!C16+NºAsuntos!E16)/NºAsuntos!G16),(NºAsuntos!C16+NºAsuntos!E16)/NºAsuntos!G16," - ")</f>
        <v>4.5510204081632653</v>
      </c>
      <c r="G16" s="462"/>
    </row>
    <row r="17" spans="1:7" ht="21.75" thickBot="1">
      <c r="A17" s="401" t="str">
        <f>Datos!A17</f>
        <v>Jdos. Violencia contra la mujer/Secc Viol. TI.</v>
      </c>
      <c r="B17" s="441">
        <f>IF(ISNUMBER(NºAsuntos!G17/NºAsuntos!E17),NºAsuntos!G17/NºAsuntos!E17," - ")</f>
        <v>0.9375</v>
      </c>
      <c r="C17" s="442">
        <f>IF(ISNUMBER(NºAsuntos!I17/NºAsuntos!G17),NºAsuntos!I17/NºAsuntos!G17," - ")</f>
        <v>2.7666666666666666</v>
      </c>
      <c r="D17" s="443">
        <f>IF(ISNUMBER('Resol  Asuntos'!D17/NºAsuntos!G17),'Resol  Asuntos'!D17/NºAsuntos!G17," - ")</f>
        <v>0.26666666666666666</v>
      </c>
      <c r="E17" s="444">
        <f>IF(ISNUMBER((NºAsuntos!C17+NºAsuntos!E17)/NºAsuntos!G17),(NºAsuntos!C17+NºAsuntos!E17)/NºAsuntos!G17," - ")</f>
        <v>3.7666666666666666</v>
      </c>
      <c r="G17" s="462"/>
    </row>
    <row r="18" spans="1:7" ht="14.25" thickTop="1" thickBot="1">
      <c r="A18" s="847" t="str">
        <f>Datos!A18</f>
        <v>TOTAL</v>
      </c>
      <c r="B18" s="857">
        <f>IF(ISNUMBER(NºAsuntos!G18/NºAsuntos!E18),NºAsuntos!G18/NºAsuntos!E18," - ")</f>
        <v>0.98103448275862071</v>
      </c>
      <c r="C18" s="858">
        <f>IF(ISNUMBER(NºAsuntos!I18/NºAsuntos!G18),NºAsuntos!I18/NºAsuntos!G18," - ")</f>
        <v>3.5096660808435853</v>
      </c>
      <c r="D18" s="861">
        <f>IF(ISNUMBER('Resol  Asuntos'!D18/NºAsuntos!G18),'Resol  Asuntos'!D18/NºAsuntos!G18," - ")</f>
        <v>5.0966608084358524E-2</v>
      </c>
      <c r="E18" s="860">
        <f>IF(ISNUMBER((NºAsuntos!C18+NºAsuntos!E18)/NºAsuntos!G18),(NºAsuntos!C18+NºAsuntos!E18)/NºAsuntos!G18," - ")</f>
        <v>4.5096660808435853</v>
      </c>
      <c r="G18" s="462"/>
    </row>
    <row r="19" spans="1:7" ht="15.75" customHeight="1" thickTop="1" thickBot="1">
      <c r="A19" s="792" t="str">
        <f>Datos!A19</f>
        <v>TOTAL JURISDICCIONES</v>
      </c>
      <c r="B19" s="807">
        <f>IF(ISNUMBER(NºAsuntos!G19/NºAsuntos!E19),NºAsuntos!G19/NºAsuntos!E19," - ")</f>
        <v>1.0905923344947734</v>
      </c>
      <c r="C19" s="808">
        <f>IF(ISNUMBER(NºAsuntos!I19/NºAsuntos!G19),NºAsuntos!I19/NºAsuntos!G19," - ")</f>
        <v>4.8200212992545257</v>
      </c>
      <c r="D19" s="809">
        <f>IF(ISNUMBER('Resol  Asuntos'!D19/NºAsuntos!G19),'Resol  Asuntos'!D19/NºAsuntos!G19," - ")</f>
        <v>0.10756123535676251</v>
      </c>
      <c r="E19" s="810">
        <f>IF(ISNUMBER((NºAsuntos!C19+NºAsuntos!E19)/NºAsuntos!G19),(NºAsuntos!C19+NºAsuntos!E19)/NºAsuntos!G19," - ")</f>
        <v>5.8434504792332271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CQ4XmeFA0gzi3pYjj4M3EHkIieVgiAZkpZy60f8U1uEkUxAfiN54tyP/BDxjSZL9zJFWCapOHTxj3xB/9MQ9Q==" saltValue="yMdvpoENkLTZKLNqOEch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VALVERDE DEL CAMINO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72</v>
      </c>
      <c r="AJ12" s="228" t="str">
        <f>IF(ISNUMBER(Datos!BW12),Datos!BW12," - ")</f>
        <v xml:space="preserve"> - </v>
      </c>
      <c r="AK12" s="227" t="str">
        <f>IF(ISNUMBER(Datos!BX12),Datos!BX12," - ")</f>
        <v xml:space="preserve"> - </v>
      </c>
      <c r="AL12" s="242">
        <f>IF(ISNUMBER(NºAsuntos!G12/NºAsuntos!E12),NºAsuntos!G12/NºAsuntos!E12," - ")</f>
        <v>1.3167259786476868</v>
      </c>
      <c r="AM12" s="259">
        <f>IF(ISNUMBER(((NºAsuntos!I12/NºAsuntos!G12)*11)/factor_trimestre),((NºAsuntos!I12/NºAsuntos!G12)*11)/factor_trimestre," - ")</f>
        <v>13.627027027027028</v>
      </c>
      <c r="AN12" s="243">
        <f>IF(ISNUMBER('Resol  Asuntos'!D12/NºAsuntos!G12),'Resol  Asuntos'!D12/NºAsuntos!G12," - ")</f>
        <v>0.19459459459459461</v>
      </c>
      <c r="AO12" s="244">
        <f>IF(ISNUMBER((NºAsuntos!C12+NºAsuntos!E12)/NºAsuntos!G12),(NºAsuntos!C12+NºAsuntos!E12)/NºAsuntos!G12," - ")</f>
        <v>7.8729729729729732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53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v>
      </c>
      <c r="Y13" s="867">
        <f t="shared" si="4"/>
        <v>16</v>
      </c>
      <c r="Z13" s="867">
        <f t="shared" si="4"/>
        <v>0</v>
      </c>
      <c r="AA13" s="867">
        <f t="shared" si="4"/>
        <v>8</v>
      </c>
      <c r="AB13" s="867">
        <f t="shared" si="4"/>
        <v>2279</v>
      </c>
      <c r="AC13" s="867">
        <f t="shared" si="4"/>
        <v>8</v>
      </c>
      <c r="AD13" s="867">
        <f t="shared" si="4"/>
        <v>0</v>
      </c>
      <c r="AE13" s="871">
        <f t="shared" si="4"/>
        <v>0</v>
      </c>
      <c r="AF13" s="864">
        <f t="shared" si="4"/>
        <v>0</v>
      </c>
      <c r="AG13" s="872">
        <f t="shared" si="4"/>
        <v>0</v>
      </c>
      <c r="AH13" s="869">
        <f t="shared" si="4"/>
        <v>0</v>
      </c>
      <c r="AI13" s="864">
        <f t="shared" si="4"/>
        <v>72</v>
      </c>
      <c r="AJ13" s="866">
        <f t="shared" si="4"/>
        <v>0</v>
      </c>
      <c r="AK13" s="869">
        <f>SUBTOTAL(9,AK9:AK12)</f>
        <v>0</v>
      </c>
      <c r="AL13" s="873">
        <f>IF(ISNUMBER(NºAsuntos!G13/NºAsuntos!E13),NºAsuntos!G13/NºAsuntos!E13," - ")</f>
        <v>1.3167259786476868</v>
      </c>
      <c r="AM13" s="873">
        <f>IF(ISNUMBER(((NºAsuntos!I13/NºAsuntos!G13)*11)/factor_trimestre),((NºAsuntos!I13/NºAsuntos!G13)*11)/factor_trimestre," - ")</f>
        <v>13.670270270270271</v>
      </c>
      <c r="AN13" s="874">
        <f>IF(ISNUMBER('Resol  Asuntos'!D13/NºAsuntos!G13),'Resol  Asuntos'!D13/NºAsuntos!G13," - ")</f>
        <v>0.19459459459459461</v>
      </c>
      <c r="AO13" s="875">
        <f>IF(ISNUMBER((NºAsuntos!C13+NºAsuntos!E13)/NºAsuntos!G13),(NºAsuntos!C13+NºAsuntos!E13)/NºAsuntos!G13," - ")</f>
        <v>7.8945945945945946</v>
      </c>
      <c r="AP13" s="876" t="str">
        <f t="shared" si="2"/>
        <v xml:space="preserve"> - </v>
      </c>
      <c r="AQ13" s="876">
        <f>IF(ISNUMBER((H13-W13+K13)/(F13)),(H13-W13+K13)/(F13)," - ")</f>
        <v>0</v>
      </c>
      <c r="AR13" s="877">
        <f>IF(ISNUMBER((Datos!P13-Datos!Q13)/(Datos!R13-Datos!P13+Datos!Q13)),(Datos!P13-Datos!Q13)/(Datos!R13-Datos!P13+Datos!Q13)," - ")</f>
        <v>1.6503122212310439E-2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1905</v>
      </c>
      <c r="G16" s="332">
        <f>IF(ISNUMBER(IF(D_I="SI",Datos!I16,Datos!I16+Datos!AC16)),IF(D_I="SI",Datos!I16,Datos!I16+Datos!AC16)," - ")</f>
        <v>1905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539</v>
      </c>
      <c r="X16" s="225">
        <f>IF(ISNUMBER(Datos!Q16),Datos!Q16," - ")</f>
        <v>8</v>
      </c>
      <c r="Y16" s="333">
        <f t="shared" ref="Y16:Y17" si="7">SUM(W16:X16)</f>
        <v>547</v>
      </c>
      <c r="Z16" s="334" t="str">
        <f>IF(ISNUMBER(Datos!CC16),Datos!CC16," - ")</f>
        <v xml:space="preserve"> - </v>
      </c>
      <c r="AA16" s="331">
        <f>IF(ISNUMBER(IF(D_I="SI",Datos!L16,Datos!L16+Datos!AF16)),IF(D_I="SI",Datos!L16,Datos!L16+Datos!AF16)," - ")</f>
        <v>1914</v>
      </c>
      <c r="AB16" s="333">
        <f>IF(ISNUMBER(Datos!R16),Datos!R16," - ")</f>
        <v>85</v>
      </c>
      <c r="AC16" s="333">
        <f t="shared" si="6"/>
        <v>1999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v>
      </c>
      <c r="AJ16" s="230" t="str">
        <f>IF(ISNUMBER(Datos!BW16),Datos!BW16," - ")</f>
        <v xml:space="preserve"> - </v>
      </c>
      <c r="AK16" s="231" t="str">
        <f>IF(ISNUMBER(Datos!BX16),Datos!BX16," - ")</f>
        <v xml:space="preserve"> - </v>
      </c>
      <c r="AL16" s="242">
        <f>IF(ISNUMBER(NºAsuntos!G16/NºAsuntos!E16),NºAsuntos!G16/NºAsuntos!E16," - ")</f>
        <v>0.98357664233576647</v>
      </c>
      <c r="AM16" s="259">
        <f>IF(ISNUMBER(((NºAsuntos!I16/NºAsuntos!G16)*11)/factor_trimestre),((NºAsuntos!I16/NºAsuntos!G16)*11)/factor_trimestre," - ")</f>
        <v>7.1020408163265305</v>
      </c>
      <c r="AN16" s="243">
        <f>IF(ISNUMBER('Resol  Asuntos'!D16/NºAsuntos!G16),'Resol  Asuntos'!D16/NºAsuntos!G16," - ")</f>
        <v>3.896103896103896E-2</v>
      </c>
      <c r="AO16" s="244">
        <f>IF(ISNUMBER((NºAsuntos!C16+NºAsuntos!E16)/NºAsuntos!G16),(NºAsuntos!C16+NºAsuntos!E16)/NºAsuntos!G16," - ")</f>
        <v>4.5510204081632653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v>
      </c>
      <c r="X17" s="225">
        <f>IF(ISNUMBER(Datos!Q17),Datos!Q17," - ")</f>
        <v>0</v>
      </c>
      <c r="Y17" s="333">
        <f t="shared" si="7"/>
        <v>30</v>
      </c>
      <c r="Z17" s="334" t="str">
        <f>IF(ISNUMBER(Datos!CC17),Datos!CC17," - ")</f>
        <v xml:space="preserve"> - </v>
      </c>
      <c r="AA17" s="331">
        <f>IF(ISNUMBER(Datos!L17),Datos!L17,"-")</f>
        <v>83</v>
      </c>
      <c r="AB17" s="333">
        <f>IF(ISNUMBER(Datos!R17),Datos!R17," - ")</f>
        <v>0</v>
      </c>
      <c r="AC17" s="333">
        <f t="shared" si="6"/>
        <v>83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0.9375</v>
      </c>
      <c r="AM17" s="259">
        <f>IF(ISNUMBER(((NºAsuntos!I17/NºAsuntos!G17)*11)/factor_trimestre),((NºAsuntos!I17/NºAsuntos!G17)*11)/factor_trimestre," - ")</f>
        <v>5.5333333333333332</v>
      </c>
      <c r="AN17" s="243">
        <f>IF(ISNUMBER('Resol  Asuntos'!D17/NºAsuntos!G17),'Resol  Asuntos'!D17/NºAsuntos!G17," - ")</f>
        <v>0.26666666666666666</v>
      </c>
      <c r="AO17" s="244">
        <f>IF(ISNUMBER((NºAsuntos!C17+NºAsuntos!E17)/NºAsuntos!G17),(NºAsuntos!C17+NºAsuntos!E17)/NºAsuntos!G17," - ")</f>
        <v>3.7666666666666666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1905</v>
      </c>
      <c r="G18" s="865">
        <f>SUBTOTAL(9,G15:G17)</f>
        <v>1986</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569</v>
      </c>
      <c r="X18" s="866">
        <f t="shared" si="11"/>
        <v>8</v>
      </c>
      <c r="Y18" s="867">
        <f t="shared" si="11"/>
        <v>577</v>
      </c>
      <c r="Z18" s="867">
        <f t="shared" si="11"/>
        <v>0</v>
      </c>
      <c r="AA18" s="867">
        <f t="shared" si="11"/>
        <v>1997</v>
      </c>
      <c r="AB18" s="867">
        <f t="shared" si="11"/>
        <v>85</v>
      </c>
      <c r="AC18" s="867">
        <f t="shared" si="11"/>
        <v>2082</v>
      </c>
      <c r="AD18" s="867">
        <f t="shared" si="11"/>
        <v>0</v>
      </c>
      <c r="AE18" s="871">
        <f t="shared" si="11"/>
        <v>0</v>
      </c>
      <c r="AF18" s="864">
        <f t="shared" si="11"/>
        <v>0</v>
      </c>
      <c r="AG18" s="872">
        <f t="shared" si="11"/>
        <v>0</v>
      </c>
      <c r="AH18" s="869">
        <f t="shared" si="11"/>
        <v>0</v>
      </c>
      <c r="AI18" s="864">
        <f t="shared" si="11"/>
        <v>29</v>
      </c>
      <c r="AJ18" s="866">
        <f t="shared" si="11"/>
        <v>0</v>
      </c>
      <c r="AK18" s="869">
        <f t="shared" si="11"/>
        <v>0</v>
      </c>
      <c r="AL18" s="873">
        <f>IF(ISNUMBER(NºAsuntos!G18/NºAsuntos!E18),NºAsuntos!G18/NºAsuntos!E18," - ")</f>
        <v>0.98103448275862071</v>
      </c>
      <c r="AM18" s="873">
        <f>IF(ISNUMBER(((NºAsuntos!I18/NºAsuntos!G18)*11)/factor_trimestre),((NºAsuntos!I18/NºAsuntos!G18)*11)/factor_trimestre," - ")</f>
        <v>7.0193321616871707</v>
      </c>
      <c r="AN18" s="874">
        <f>IF(ISNUMBER('Resol  Asuntos'!D18/NºAsuntos!G18),'Resol  Asuntos'!D18/NºAsuntos!G18," - ")</f>
        <v>5.0966608084358524E-2</v>
      </c>
      <c r="AO18" s="875">
        <f>IF(ISNUMBER((NºAsuntos!C18+NºAsuntos!E18)/NºAsuntos!G18),(NºAsuntos!C18+NºAsuntos!E18)/NºAsuntos!G18," - ")</f>
        <v>4.5096660808435853</v>
      </c>
      <c r="AP18" s="876" t="str">
        <f t="shared" si="2"/>
        <v xml:space="preserve"> - </v>
      </c>
      <c r="AQ18" s="876">
        <f>IF(ISNUMBER((H18-W18+K18)/(F18)),(H18-W18+K18)/(F18)," - ")</f>
        <v>-0.29868766404199476</v>
      </c>
      <c r="AR18" s="877">
        <f>IF(ISNUMBER((Datos!P18-Datos!Q18)/(Datos!R18-Datos!P18+Datos!Q18)),(Datos!P18-Datos!Q18)/(Datos!R18-Datos!P18+Datos!Q18)," - ")</f>
        <v>-2.2988505747126436E-2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1913</v>
      </c>
      <c r="G19" s="820">
        <f t="shared" si="13"/>
        <v>1994</v>
      </c>
      <c r="H19" s="819">
        <f t="shared" si="13"/>
        <v>0</v>
      </c>
      <c r="I19" s="821">
        <f t="shared" si="13"/>
        <v>0</v>
      </c>
      <c r="J19" s="821">
        <f t="shared" si="13"/>
        <v>0</v>
      </c>
      <c r="K19" s="880">
        <f t="shared" si="13"/>
        <v>0</v>
      </c>
      <c r="L19" s="821">
        <f t="shared" si="13"/>
        <v>59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569</v>
      </c>
      <c r="X19" s="820">
        <f t="shared" si="14"/>
        <v>24</v>
      </c>
      <c r="Y19" s="827">
        <f t="shared" si="14"/>
        <v>593</v>
      </c>
      <c r="Z19" s="827">
        <f t="shared" si="14"/>
        <v>0</v>
      </c>
      <c r="AA19" s="827">
        <f t="shared" si="14"/>
        <v>2005</v>
      </c>
      <c r="AB19" s="827">
        <f t="shared" si="14"/>
        <v>2364</v>
      </c>
      <c r="AC19" s="827">
        <f t="shared" si="14"/>
        <v>2090</v>
      </c>
      <c r="AD19" s="827">
        <f t="shared" si="14"/>
        <v>0</v>
      </c>
      <c r="AE19" s="829">
        <f t="shared" si="14"/>
        <v>0</v>
      </c>
      <c r="AF19" s="830">
        <f t="shared" si="14"/>
        <v>0</v>
      </c>
      <c r="AG19" s="831">
        <f t="shared" si="14"/>
        <v>0</v>
      </c>
      <c r="AH19" s="829">
        <f t="shared" si="14"/>
        <v>0</v>
      </c>
      <c r="AI19" s="819">
        <f t="shared" si="14"/>
        <v>101</v>
      </c>
      <c r="AJ19" s="819">
        <f t="shared" si="14"/>
        <v>0</v>
      </c>
      <c r="AK19" s="829">
        <f t="shared" si="14"/>
        <v>0</v>
      </c>
      <c r="AL19" s="883">
        <f>IF(ISNUMBER(NºAsuntos!G19/NºAsuntos!E19),NºAsuntos!G19/NºAsuntos!E19," - ")</f>
        <v>1.0905923344947734</v>
      </c>
      <c r="AM19" s="884">
        <f>IF(ISNUMBER(((NºAsuntos!I19/NºAsuntos!G19)*11)/factor_trimestre),((NºAsuntos!I19/NºAsuntos!G19)*11)/factor_trimestre," - ")</f>
        <v>9.6400425985090514</v>
      </c>
      <c r="AN19" s="884">
        <f>IF(ISNUMBER('Resol  Asuntos'!D19/NºAsuntos!G19),'Resol  Asuntos'!D19/NºAsuntos!G19," - ")</f>
        <v>0.10756123535676251</v>
      </c>
      <c r="AO19" s="885">
        <f>IF(ISNUMBER((NºAsuntos!C19+NºAsuntos!E19)/NºAsuntos!G19),(NºAsuntos!C19+NºAsuntos!E19)/NºAsuntos!G19," - ")</f>
        <v>5.8434504792332271</v>
      </c>
      <c r="AP19" s="886" t="str">
        <f t="shared" si="2"/>
        <v xml:space="preserve"> - </v>
      </c>
      <c r="AQ19" s="887">
        <f>IF(OR(ISNUMBER(FIND("01",Criterios!A8,1)),ISNUMBER(FIND("02",Criterios!A8,1)),ISNUMBER(FIND("03",Criterios!A8,1)),ISNUMBER(FIND("04",Criterios!A8,1))),(I19-W19+K19)/(F19-K19),(H19-W19+K19)/(F19-K19))</f>
        <v>-0.29743857814950342</v>
      </c>
      <c r="AR19" s="888">
        <f>IF(ISNUMBER((Datos!P19-Datos!Q19)/(Datos!R19-Datos!P19+Datos!Q19)),(Datos!P19-Datos!Q19)/(Datos!R19-Datos!P19+Datos!Q19)," - ")</f>
        <v>1.5027908973808502E-2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1095.2334606527199</v>
      </c>
      <c r="G21" s="252">
        <f>IF(ISNUMBER(STDEV(G8:G18)),STDEV(G8:G18),"-")</f>
        <v>1048.6993372745117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298.40123994380451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31.347514521356658</v>
      </c>
      <c r="AJ21" s="251">
        <f t="shared" si="18"/>
        <v>0</v>
      </c>
      <c r="AK21" s="253">
        <f t="shared" si="18"/>
        <v>0</v>
      </c>
      <c r="AL21" s="248">
        <f t="shared" si="18"/>
        <v>0.19222434521809723</v>
      </c>
      <c r="AM21" s="249">
        <f t="shared" si="18"/>
        <v>3.9370614617685313</v>
      </c>
      <c r="AN21" s="249">
        <f t="shared" si="18"/>
        <v>9.9652113197106637E-2</v>
      </c>
      <c r="AO21" s="250">
        <f t="shared" si="18"/>
        <v>2.0006924867707729</v>
      </c>
      <c r="AP21" s="290" t="str">
        <f t="shared" si="18"/>
        <v>-</v>
      </c>
      <c r="AQ21" s="291">
        <f t="shared" si="18"/>
        <v>0.2112040727008638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NR+EGyDP9Dxjfduk1eD1EX7Nyti+Wj3G1XeWxWYYZF4X0IjLoEWAWSpGV4XwnQHxXPTkYpufyyOMuLRpJoRDw==" saltValue="R8IxF3tsWVhaZKentt3T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VALVERDE DEL CAMINO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-0.52941176470588236</v>
      </c>
      <c r="E10" s="347">
        <f>IF(ISNUMBER((Datos!J10-Datos!T10)/Datos!T10),(Datos!J10-Datos!T10)/Datos!T10," - ")</f>
        <v>-1</v>
      </c>
      <c r="F10" s="347">
        <f>IF(ISNUMBER((Datos!K10-Datos!U10)/Datos!U10),(Datos!K10-Datos!U10)/Datos!U10," - ")</f>
        <v>-1</v>
      </c>
      <c r="G10" s="348">
        <f>IF(ISNUMBER((Datos!L10-Datos!V10)/Datos!V10),(Datos!L10-Datos!V10)/Datos!V10," - ")</f>
        <v>-0.52941176470588236</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-0.17241379310344829</v>
      </c>
      <c r="I12" s="349">
        <f>IF(ISNUMBER((Tasas!C12-Datos!BE12)/Datos!BE12),(Tasas!C12-Datos!BE12)/Datos!BE12," - ")</f>
        <v>0.29924350821409645</v>
      </c>
      <c r="J12" s="348">
        <f>IF(ISNUMBER((Tasas!D12-Datos!BF12)/Datos!BF12),(Tasas!D12-Datos!BF12)/Datos!BF12," - ")</f>
        <v>-0.50524642289348165</v>
      </c>
      <c r="K12" s="350">
        <f>IF(ISNUMBER((Tasas!E12-Datos!BG12)/Datos!BG12),(Tasas!E12-Datos!BG12)/Datos!BG12," - ")</f>
        <v>0.2608425222258075</v>
      </c>
      <c r="M12" t="e">
        <f>IF(Monitorios="SI",Datos!CE12,0)</f>
        <v>#REF!</v>
      </c>
      <c r="N12" t="e">
        <f>IF(Monitorios="SI",Datos!CF12,0)</f>
        <v>#REF!</v>
      </c>
      <c r="O12" t="e">
        <f>IF(Monitorios="SI",Datos!CG12,0)</f>
        <v>#REF!</v>
      </c>
      <c r="P12" t="e">
        <f>IF(Monitorios="SI",Datos!CH12,0)</f>
        <v>#REF!</v>
      </c>
      <c r="Q12">
        <f>IF(J_V="SI",0,Datos!AG12)</f>
        <v>72</v>
      </c>
      <c r="R12">
        <f>IF(J_V="SI",0,Datos!AH12)</f>
        <v>30</v>
      </c>
      <c r="S12">
        <f>IF(J_V="SI",0,Datos!AI12)</f>
        <v>33</v>
      </c>
      <c r="T12">
        <f>IF(J_V="SI",0,Datos!AJ12)</f>
        <v>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-0.18181818181818182</v>
      </c>
      <c r="I13" s="356">
        <f>IF(ISNUMBER((Tasas!C13-Datos!BE13)/Datos!BE13),(Tasas!C13-Datos!BE13)/Datos!BE13," - ")</f>
        <v>0.29924056287692646</v>
      </c>
      <c r="J13" s="354">
        <f>IF(ISNUMBER((Tasas!D13-Datos!BF13)/Datos!BF13),(Tasas!D13-Datos!BF13)/Datos!BF13," - ")</f>
        <v>-0.50593190593190596</v>
      </c>
      <c r="K13" s="357">
        <f>IF(ISNUMBER((Tasas!E13-Datos!BG13)/Datos!BG13),(Tasas!E13-Datos!BG13)/Datos!BG13," - ")</f>
        <v>0.26094219219219211</v>
      </c>
      <c r="M13" t="e">
        <f>IF(Monitorios="SI",Datos!CE13,0)</f>
        <v>#REF!</v>
      </c>
      <c r="N13" t="e">
        <f>IF(Monitorios="SI",Datos!CF13,0)</f>
        <v>#REF!</v>
      </c>
      <c r="O13" t="e">
        <f>IF(Monitorios="SI",Datos!CG13,0)</f>
        <v>#REF!</v>
      </c>
      <c r="P13" t="e">
        <f>IF(Monitorios="SI",Datos!CH13,0)</f>
        <v>#REF!</v>
      </c>
      <c r="Q13">
        <f>IF(J_V="SI",0,Datos!AG13)</f>
        <v>72</v>
      </c>
      <c r="R13">
        <f>IF(J_V="SI",0,Datos!AH13)</f>
        <v>30</v>
      </c>
      <c r="S13">
        <f>IF(J_V="SI",0,Datos!AI13)</f>
        <v>33</v>
      </c>
      <c r="T13">
        <f>IF(J_V="SI",0,Datos!AJ13)</f>
        <v>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0.40902366863905326</v>
      </c>
      <c r="E16" s="347">
        <f>IF(ISNUMBER(
   IF(D_I="SI",(Datos!J16-Datos!T16)/Datos!T16,(Datos!J16+Datos!AD16-(Datos!T16+Datos!AL16))/(Datos!T16+Datos!AL16))
     ),IF(D_I="SI",(Datos!J16-Datos!T16)/Datos!T16,(Datos!J16+Datos!AD16-(Datos!T16+Datos!AL16))/(Datos!T16+Datos!AL16))," - ")</f>
        <v>0.59302325581395354</v>
      </c>
      <c r="F16" s="347">
        <f>IF(ISNUMBER(
   IF(D_I="SI",(Datos!K16-Datos!U16)/Datos!U16,(Datos!K16+Datos!AE16-(Datos!U16+Datos!AM16))/(Datos!U16+Datos!AM16))
     ),IF(D_I="SI",(Datos!K16-Datos!U16)/Datos!U16,(Datos!K16+Datos!AE16-(Datos!U16+Datos!AM16))/(Datos!U16+Datos!AM16))," - ")</f>
        <v>0.52259887005649719</v>
      </c>
      <c r="G16" s="348">
        <f>IF(ISNUMBER(
   IF(D_I="SI",(Datos!L16-Datos!V16)/Datos!V16,(Datos!L16+Datos!AF16-(Datos!V16+Datos!AN16))/(Datos!V16+Datos!AN16))
     ),IF(D_I="SI",(Datos!L16-Datos!V16)/Datos!V16,(Datos!L16+Datos!AF16-(Datos!V16+Datos!AN16))/(Datos!V16+Datos!AN16))," - ")</f>
        <v>0.42622950819672129</v>
      </c>
      <c r="H16" s="229">
        <f>IF(ISNUMBER((Datos!M16-Datos!W16)/Datos!W16),(Datos!M16-Datos!W16)/Datos!W16," - ")</f>
        <v>-0.66129032258064513</v>
      </c>
      <c r="I16" s="349">
        <f>IF(ISNUMBER((Tasas!C16-Datos!BE16)/Datos!BE16),(Tasas!C16-Datos!BE16)/Datos!BE16," - ")</f>
        <v>-6.3292679217737735E-2</v>
      </c>
      <c r="J16" s="348">
        <f>IF(ISNUMBER((Tasas!D16-Datos!BF16)/Datos!BF16),(Tasas!D16-Datos!BF16)/Datos!BF16," - ")</f>
        <v>-0.77754503560955168</v>
      </c>
      <c r="K16" s="350">
        <f>IF(ISNUMBER((Tasas!E16-Datos!BG16)/Datos!BG16),(Tasas!E16-Datos!BG16)/Datos!BG16," - ")</f>
        <v>-5.0081825182903411E-2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0.76086956521739135</v>
      </c>
      <c r="E17" s="347">
        <f>IF(ISNUMBER(
   IF(D_I="SI",(Datos!J17-Datos!T17)/Datos!T17,(Datos!J17+Datos!AD17-(Datos!T17+Datos!AL17))/(Datos!T17+Datos!AL17))
     ),IF(D_I="SI",(Datos!J17-Datos!T17)/Datos!T17,(Datos!J17+Datos!AD17-(Datos!T17+Datos!AL17))/(Datos!T17+Datos!AL17))," - ")</f>
        <v>3.2258064516129031E-2</v>
      </c>
      <c r="F17" s="347">
        <f>IF(ISNUMBER(
   IF(D_I="SI",(Datos!K17-Datos!U17)/Datos!U17,(Datos!K17+Datos!AE17-(Datos!U17+Datos!AM17))/(Datos!U17+Datos!AM17))
     ),IF(D_I="SI",(Datos!K17-Datos!U17)/Datos!U17,(Datos!K17+Datos!AE17-(Datos!U17+Datos!AM17))/(Datos!U17+Datos!AM17))," - ")</f>
        <v>0.2</v>
      </c>
      <c r="G17" s="348">
        <f>IF(ISNUMBER(
   IF(D_I="SI",(Datos!L17-Datos!V17)/Datos!V17,(Datos!L17+Datos!AF17-(Datos!V17+Datos!AN17))/(Datos!V17+Datos!AN17))
     ),IF(D_I="SI",(Datos!L17-Datos!V17)/Datos!V17,(Datos!L17+Datos!AF17-(Datos!V17+Datos!AN17))/(Datos!V17+Datos!AN17))," - ")</f>
        <v>0.59615384615384615</v>
      </c>
      <c r="H17" s="229">
        <f>IF(ISNUMBER((Datos!M17-Datos!W17)/Datos!W17),(Datos!M17-Datos!W17)/Datos!W17," - ")</f>
        <v>0.6</v>
      </c>
      <c r="I17" s="349">
        <f>IF(ISNUMBER((Tasas!C17-Datos!BE17)/Datos!BE17),(Tasas!C17-Datos!BE17)/Datos!BE17," - ")</f>
        <v>0.33012820512820507</v>
      </c>
      <c r="J17" s="348">
        <f>IF(ISNUMBER((Tasas!D17-Datos!BF17)/Datos!BF17),(Tasas!D17-Datos!BF17)/Datos!BF17," - ")</f>
        <v>0.33333333333333326</v>
      </c>
      <c r="K17" s="350">
        <f>IF(ISNUMBER((Tasas!E17-Datos!BG17)/Datos!BG17),(Tasas!E17-Datos!BG17)/Datos!BG17," - ")</f>
        <v>0.22294372294372289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0.42060085836909872</v>
      </c>
      <c r="E18" s="353">
        <f>IF(ISNUMBER(
   IF(D_I="SI",(Datos!J18-Datos!T18)/Datos!T18,(Datos!J18+Datos!AD18-(Datos!T18+Datos!AL18))/(Datos!T18+Datos!AL18))
     ),IF(D_I="SI",(Datos!J18-Datos!T18)/Datos!T18,(Datos!J18+Datos!AD18-(Datos!T18+Datos!AL18))/(Datos!T18+Datos!AL18))," - ")</f>
        <v>0.54666666666666663</v>
      </c>
      <c r="F18" s="353">
        <f>IF(ISNUMBER(
   IF(D_I="SI",(Datos!K18-Datos!U18)/Datos!U18,(Datos!K18+Datos!AE18-(Datos!U18+Datos!AM18))/(Datos!U18+Datos!AM18))
     ),IF(D_I="SI",(Datos!K18-Datos!U18)/Datos!U18,(Datos!K18+Datos!AE18-(Datos!U18+Datos!AM18))/(Datos!U18+Datos!AM18))," - ")</f>
        <v>0.50131926121372028</v>
      </c>
      <c r="G18" s="354">
        <f>IF(ISNUMBER(
   IF(D_I="SI",(Datos!L18-Datos!V18)/Datos!V18,(Datos!L18+Datos!AF18-(Datos!V18+Datos!AN18))/(Datos!V18+Datos!AN18))
     ),IF(D_I="SI",(Datos!L18-Datos!V18)/Datos!V18,(Datos!L18+Datos!AF18-(Datos!V18+Datos!AN18))/(Datos!V18+Datos!AN18))," - ")</f>
        <v>0.43256814921090386</v>
      </c>
      <c r="H18" s="355">
        <f>IF(ISNUMBER((Datos!M18-Datos!W18)/Datos!W18),(Datos!M18-Datos!W18)/Datos!W18," - ")</f>
        <v>-0.56716417910447758</v>
      </c>
      <c r="I18" s="356">
        <f>IF(ISNUMBER((Tasas!C18-Datos!BE18)/Datos!BE18),(Tasas!C18-Datos!BE18)/Datos!BE18," - ")</f>
        <v>-4.579379868025911E-2</v>
      </c>
      <c r="J18" s="354">
        <f>IF(ISNUMBER((Tasas!D18-Datos!BF18)/Datos!BF18),(Tasas!D18-Datos!BF18)/Datos!BF18," - ")</f>
        <v>-0.71169635128400177</v>
      </c>
      <c r="K18" s="357">
        <f>IF(ISNUMBER((Tasas!E18-Datos!BG18)/Datos!BG18),(Tasas!E18-Datos!BG18)/Datos!BG18," - ")</f>
        <v>-3.600482535830863E-2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0.34437663469921537</v>
      </c>
      <c r="E19" s="362">
        <f>IF(ISNUMBER(
   IF(J_V="SI",(Datos!J19-Datos!T19)/Datos!T19,(Datos!J19+Datos!Z19-(Datos!T19+Datos!AH19))/(Datos!T19+Datos!AH19))
     ),IF(J_V="SI",(Datos!J19-Datos!T19)/Datos!T19,(Datos!J19+Datos!Z19-(Datos!T19+Datos!AH19))/(Datos!T19+Datos!AH19))," - ")</f>
        <v>0.10384615384615385</v>
      </c>
      <c r="F19" s="362">
        <f>IF(ISNUMBER(
   IF(J_V="SI",(Datos!K19-Datos!U19)/Datos!U19,(Datos!K19+Datos!AA19-(Datos!U19+Datos!AI19))/(Datos!U19+Datos!AI19))
     ),IF(J_V="SI",(Datos!K19-Datos!U19)/Datos!U19,(Datos!K19+Datos!AA19-(Datos!U19+Datos!AI19))/(Datos!U19+Datos!AI19))," - ")</f>
        <v>0.21948051948051947</v>
      </c>
      <c r="G19" s="363">
        <f>IF(ISNUMBER(
   IF(J_V="SI",(Datos!L19-Datos!V19)/Datos!V19,(Datos!L19+Datos!AB19-(Datos!V19+Datos!AJ19))/(Datos!V19+Datos!AJ19))
     ),IF(J_V="SI",(Datos!L19-Datos!V19)/Datos!V19,(Datos!L19+Datos!AB19-(Datos!V19+Datos!AJ19))/(Datos!V19+Datos!AJ19))," - ")</f>
        <v>0.31150391190959142</v>
      </c>
      <c r="H19" s="364">
        <f>IF(ISNUMBER((Datos!M19-Datos!W19)/Datos!W19),(Datos!M19-Datos!W19)/Datos!W19," - ")</f>
        <v>-0.34838709677419355</v>
      </c>
      <c r="I19" s="361">
        <f>IF(ISNUMBER((Tasas!C19-Datos!BE19)/Datos!BE19),(Tasas!C19-Datos!BE19)/Datos!BE19," - ")</f>
        <v>7.5461141821496686E-2</v>
      </c>
      <c r="J19" s="362">
        <f>IF(ISNUMBER((Tasas!D19-Datos!BF19)/Datos!BF19),(Tasas!D19-Datos!BF19)/Datos!BF19," - ")</f>
        <v>-0.62523913472983195</v>
      </c>
      <c r="K19" s="363">
        <f>IF(ISNUMBER((Tasas!E19-Datos!BG19)/Datos!BG19),(Tasas!E19-Datos!BG19)/Datos!BG19," - ")</f>
        <v>6.5969407488648463E-2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0.55435573085857548</v>
      </c>
      <c r="E21" s="277">
        <f t="shared" si="1"/>
        <v>0.74030851261459329</v>
      </c>
      <c r="F21" s="277">
        <f t="shared" si="1"/>
        <v>0.71923472021084356</v>
      </c>
      <c r="G21" s="278">
        <f t="shared" si="1"/>
        <v>0.51325986602375462</v>
      </c>
      <c r="H21" s="284">
        <f t="shared" si="1"/>
        <v>0.55255591331016896</v>
      </c>
      <c r="I21" s="276">
        <f t="shared" si="1"/>
        <v>0.19990919933664092</v>
      </c>
      <c r="J21" s="277">
        <f t="shared" si="1"/>
        <v>0.44558597752999729</v>
      </c>
      <c r="K21" s="278">
        <f t="shared" si="1"/>
        <v>0.16037166883579027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FSsCaOgbnod3j7ea7n0bs7wMbPb4qyP9YM7kj6SVRFXG3lLb3MYBL/CicmDBTCiQ8NXPvDr6Il9WvzSCTHddQ==" saltValue="alOkctUiftSQtXXSQoJo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